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720" yWindow="720" windowWidth="30600" windowHeight="17860" tabRatio="500"/>
  </bookViews>
  <sheets>
    <sheet name="SAFE SERIES ONE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8" i="1" l="1"/>
  <c r="M19" i="1"/>
  <c r="G21" i="1"/>
  <c r="M21" i="1"/>
  <c r="I29" i="1"/>
  <c r="I30" i="1"/>
  <c r="M35" i="1"/>
  <c r="D36" i="1"/>
  <c r="G36" i="1"/>
  <c r="I36" i="1"/>
  <c r="K36" i="1"/>
  <c r="M36" i="1"/>
  <c r="N36" i="1"/>
  <c r="D37" i="1"/>
  <c r="M39" i="1"/>
  <c r="C45" i="1"/>
  <c r="G45" i="1"/>
  <c r="I45" i="1"/>
  <c r="K45" i="1"/>
  <c r="M45" i="1"/>
  <c r="N45" i="1"/>
  <c r="C48" i="1"/>
  <c r="D53" i="1"/>
  <c r="D54" i="1"/>
  <c r="G54" i="1"/>
  <c r="I54" i="1"/>
  <c r="K54" i="1"/>
  <c r="M54" i="1"/>
  <c r="M59" i="1"/>
  <c r="O64" i="1"/>
  <c r="Q60" i="1"/>
  <c r="Q61" i="1"/>
  <c r="Q64" i="1"/>
  <c r="O67" i="1"/>
  <c r="Q67" i="1"/>
  <c r="Q68" i="1"/>
  <c r="M73" i="1"/>
  <c r="C74" i="1"/>
  <c r="M74" i="1"/>
  <c r="M76" i="1"/>
  <c r="C82" i="1"/>
  <c r="D82" i="1"/>
  <c r="G82" i="1"/>
  <c r="J82" i="1"/>
  <c r="M82" i="1"/>
  <c r="N82" i="1"/>
  <c r="I88" i="1"/>
  <c r="J90" i="1"/>
  <c r="J88" i="1"/>
  <c r="K91" i="1"/>
  <c r="K88" i="1"/>
  <c r="M88" i="1"/>
  <c r="O88" i="1"/>
  <c r="K89" i="1"/>
  <c r="M89" i="1"/>
  <c r="O89" i="1"/>
  <c r="K90" i="1"/>
  <c r="I92" i="1"/>
  <c r="M90" i="1"/>
  <c r="O90" i="1"/>
  <c r="M91" i="1"/>
  <c r="O91" i="1"/>
  <c r="K92" i="1"/>
  <c r="D93" i="1"/>
  <c r="M93" i="1"/>
  <c r="O93" i="1"/>
  <c r="O94" i="1"/>
  <c r="L96" i="1"/>
  <c r="D97" i="1"/>
  <c r="F97" i="1"/>
  <c r="L97" i="1"/>
  <c r="Q98" i="1"/>
  <c r="S97" i="1"/>
  <c r="D98" i="1"/>
  <c r="F98" i="1"/>
  <c r="L98" i="1"/>
  <c r="S98" i="1"/>
  <c r="D99" i="1"/>
  <c r="F99" i="1"/>
  <c r="L99" i="1"/>
  <c r="Q99" i="1"/>
  <c r="D100" i="1"/>
  <c r="F100" i="1"/>
  <c r="L100" i="1"/>
  <c r="Q100" i="1"/>
  <c r="B107" i="1"/>
  <c r="C107" i="1"/>
  <c r="F107" i="1"/>
  <c r="I107" i="1"/>
  <c r="M107" i="1"/>
  <c r="K111" i="1"/>
  <c r="M111" i="1"/>
  <c r="P111" i="1"/>
  <c r="O114" i="1"/>
  <c r="Q114" i="1"/>
</calcChain>
</file>

<file path=xl/sharedStrings.xml><?xml version="1.0" encoding="utf-8"?>
<sst xmlns="http://schemas.openxmlformats.org/spreadsheetml/2006/main" count="189" uniqueCount="153">
  <si>
    <t>THIS DOCUMENT IS NOT TO BE CONSTRUED AS LEGALLY BINDING.</t>
  </si>
  <si>
    <t>VOICE SECURE (US), LLC - SAFE AGREEMENT - EXAMPLE SCENARIOS</t>
  </si>
  <si>
    <t>PROPRIETARY AND CONFIDENTIAL</t>
  </si>
  <si>
    <t>EXIT PACKAGE</t>
  </si>
  <si>
    <t xml:space="preserve">                   TOTAL EXIT EQUITY</t>
  </si>
  <si>
    <t>COMMON EQUITY</t>
  </si>
  <si>
    <t>TOTAL SAFE BONUS</t>
  </si>
  <si>
    <t>POST DILUTION</t>
  </si>
  <si>
    <t>INDIVIDUAL UNIT EQUITY</t>
  </si>
  <si>
    <t>FOUNDERS/MGMT EQUITY</t>
  </si>
  <si>
    <t>RETAINED EQUITY</t>
  </si>
  <si>
    <t>INITIAL EQUITY</t>
  </si>
  <si>
    <t>EQUITY</t>
  </si>
  <si>
    <t>TOTAL EQUITY</t>
  </si>
  <si>
    <t>SAFE PACKAGE</t>
  </si>
  <si>
    <t>POST SAFE DILUTION</t>
  </si>
  <si>
    <t>POST 20% SAFE DILUTION</t>
  </si>
  <si>
    <t>FOUNDER / MGMT</t>
  </si>
  <si>
    <t xml:space="preserve">ROUND A </t>
  </si>
  <si>
    <t xml:space="preserve">CKA POST-SAFE DILUTION EXIT EVENT SUMMARY                </t>
  </si>
  <si>
    <t>(Pre Money Valuation)</t>
  </si>
  <si>
    <t>Round A Equity Units</t>
  </si>
  <si>
    <t>EQUITY EVENT $ / UNIT:</t>
  </si>
  <si>
    <t>SAFE Equity Units</t>
  </si>
  <si>
    <t># OF SHARES / UNIT:</t>
  </si>
  <si>
    <t>Management Units</t>
  </si>
  <si>
    <t># OF SAFE UNITS:</t>
  </si>
  <si>
    <t>Founders Group Units</t>
  </si>
  <si>
    <t>THIS SERIES ONE SAFE TOTALS:</t>
  </si>
  <si>
    <t>EXIT EVENT VALUATION:</t>
  </si>
  <si>
    <t>PERCENTAGES</t>
  </si>
  <si>
    <t>EQUITY UNITS</t>
  </si>
  <si>
    <t xml:space="preserve">   FINAL EXIT EVENT</t>
  </si>
  <si>
    <t>PER SHARE</t>
  </si>
  <si>
    <t>VALUATION</t>
  </si>
  <si>
    <t>SHARES</t>
  </si>
  <si>
    <t>EXIT EVENT</t>
  </si>
  <si>
    <t xml:space="preserve"> BEGINNING SHARES</t>
  </si>
  <si>
    <t>Round "A" Equity Units</t>
  </si>
  <si>
    <t>-</t>
  </si>
  <si>
    <t>Total SAFE Equity Units</t>
  </si>
  <si>
    <t>AT EXIT SALE</t>
  </si>
  <si>
    <t>EQUITY METRICS</t>
  </si>
  <si>
    <t>SAFE %</t>
  </si>
  <si>
    <t>UNITS</t>
  </si>
  <si>
    <t>AND DILUTION</t>
  </si>
  <si>
    <t>VALUATIONS</t>
  </si>
  <si>
    <t># SAFE EVENT</t>
  </si>
  <si>
    <t>SAFE EVENT</t>
  </si>
  <si>
    <t>SERIES ONE</t>
  </si>
  <si>
    <t>FOUNDING</t>
  </si>
  <si>
    <t>CONVERSIONS</t>
  </si>
  <si>
    <t xml:space="preserve">   OR EXIT VALUATION</t>
  </si>
  <si>
    <t xml:space="preserve">   ROUND A EVENT</t>
  </si>
  <si>
    <t>X-FACTOR</t>
  </si>
  <si>
    <t>POST-ROUND A</t>
  </si>
  <si>
    <t>GUARANTEE VALUE</t>
  </si>
  <si>
    <t>INVESTMENT</t>
  </si>
  <si>
    <t>EXIT VALUATION</t>
  </si>
  <si>
    <t>EVENT</t>
  </si>
  <si>
    <t>SAFE UNIT EXIT</t>
  </si>
  <si>
    <t>CONVERTED EQUITY</t>
  </si>
  <si>
    <t>SAFE FLOOR</t>
  </si>
  <si>
    <t>INITIAL</t>
  </si>
  <si>
    <t>INDIVIDUAL SAFE UNIT, POST ROUND A, PRE-EXIT:</t>
  </si>
  <si>
    <t>POST-MONEY ROUND "A" VALUATION</t>
  </si>
  <si>
    <t>PRE-MONEY EXIT VALUATION</t>
  </si>
  <si>
    <t>PRE-MONEY ROUND "A" VALUATION</t>
  </si>
  <si>
    <t>ON SAFE FLOOR GUARANTEE</t>
  </si>
  <si>
    <t>SERIES ONE RAISE BASED</t>
  </si>
  <si>
    <t>AT A ROUND</t>
  </si>
  <si>
    <t xml:space="preserve">     CAP AND EXIT TABLE</t>
  </si>
  <si>
    <t xml:space="preserve">        FOR HIGHEST INVESTOR RETURN</t>
  </si>
  <si>
    <t>GUARANTEED</t>
  </si>
  <si>
    <t>*PLUS EITHER DISCOUNT OR CAP BONUS</t>
  </si>
  <si>
    <t>FLOOR VALUATION</t>
  </si>
  <si>
    <t>FINAL SERIES A CONVERTED SAFE EQUITY:</t>
  </si>
  <si>
    <t>EXIT EVENT TOTALS</t>
  </si>
  <si>
    <t>VALUATION TOTALS</t>
  </si>
  <si>
    <t>SERIES A PRE-MONEY</t>
  </si>
  <si>
    <t>T</t>
  </si>
  <si>
    <t>CONVERTED SAFE EQUITY</t>
  </si>
  <si>
    <t>N</t>
  </si>
  <si>
    <t>EXAMPLE</t>
  </si>
  <si>
    <t>E</t>
  </si>
  <si>
    <t>BELOW FLOOR</t>
  </si>
  <si>
    <t>V</t>
  </si>
  <si>
    <t>=</t>
  </si>
  <si>
    <t>X</t>
  </si>
  <si>
    <t>FLOOR PERCENTAGE:</t>
  </si>
  <si>
    <t>SAFE FLOOR EQUITY</t>
  </si>
  <si>
    <t>BUY IN VALUE</t>
  </si>
  <si>
    <t>QUOTIENT</t>
  </si>
  <si>
    <t>FLOOR ADJUSTMENT</t>
  </si>
  <si>
    <t>FLOOR DIFFERENCE:</t>
  </si>
  <si>
    <t>I</t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</si>
  <si>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</si>
  <si>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{</t>
  </si>
  <si>
    <t>}</t>
  </si>
  <si>
    <t>,</t>
  </si>
  <si>
    <t xml:space="preserve"> -----&gt;</t>
  </si>
  <si>
    <t xml:space="preserve"> ----&gt; </t>
  </si>
  <si>
    <t xml:space="preserve">                  }   ----  -------- &lt;</t>
  </si>
  <si>
    <t>EQUITY PURCHASE</t>
  </si>
  <si>
    <t>PURCHASE VALUE</t>
  </si>
  <si>
    <t>AMOUNT</t>
  </si>
  <si>
    <t>BASE</t>
  </si>
  <si>
    <t>NORMAL</t>
  </si>
  <si>
    <t xml:space="preserve"> @ DISCOUNT PRICE</t>
  </si>
  <si>
    <t>DISCOUNT APPLIED</t>
  </si>
  <si>
    <t>TO CALCULATE SAFE BONUS</t>
  </si>
  <si>
    <t>SERIES A OR SALE VALUE CAP</t>
  </si>
  <si>
    <t>S</t>
  </si>
  <si>
    <t>SAFE EQUITY CAP BONUS</t>
  </si>
  <si>
    <t>TO EVENT VALUATION</t>
  </si>
  <si>
    <t>NET DILUTION CAP</t>
  </si>
  <si>
    <t>U</t>
  </si>
  <si>
    <t>CAP PERCENTAGE:</t>
  </si>
  <si>
    <t>O</t>
  </si>
  <si>
    <t>CAP ADJUSTMENT</t>
  </si>
  <si>
    <t>B</t>
  </si>
  <si>
    <t>ABOVE CAP</t>
  </si>
  <si>
    <t>EXIT VALUATION:</t>
  </si>
  <si>
    <t>ROUND "A" EQUITY</t>
  </si>
  <si>
    <t>F</t>
  </si>
  <si>
    <t>EVENT VALUATION:</t>
  </si>
  <si>
    <t>A</t>
  </si>
  <si>
    <t> IN CO- FOUNDERS + MGMT TEAM  UNITS</t>
  </si>
  <si>
    <t xml:space="preserve">(SAFE $) </t>
  </si>
  <si>
    <t xml:space="preserve"> SAFE EQUITY INVESTMENT:</t>
  </si>
  <si>
    <t>FOUNDERS / MGMT</t>
  </si>
  <si>
    <t> AND ADDITIONAL EQUITY SHARES</t>
  </si>
  <si>
    <t>BONUS SAFE DISCOUNT:</t>
  </si>
  <si>
    <r>
      <rPr>
        <sz val="16"/>
        <color rgb="FFFF0000"/>
        <rFont val="Arial"/>
      </rPr>
      <t>*</t>
    </r>
    <r>
      <rPr>
        <sz val="16"/>
        <color rgb="FF000000"/>
        <rFont val="Arial"/>
      </rPr>
      <t>EXAMPLE OF SAFE UNIT PURCHASE</t>
    </r>
  </si>
  <si>
    <t>NUMBER OF SAFE UNITS:</t>
  </si>
  <si>
    <t xml:space="preserve"> UNITS / SPLITS</t>
  </si>
  <si>
    <t>INVESTOR EQUITY</t>
  </si>
  <si>
    <t># of Total Monthly Units</t>
  </si>
  <si>
    <t>A ROUND EVENT</t>
  </si>
  <si>
    <t>Q4 RUN RATE</t>
  </si>
  <si>
    <t>Per Unit Pricing</t>
  </si>
  <si>
    <t>AT SALE BEFORE</t>
  </si>
  <si>
    <t>ANNUAL SALES</t>
  </si>
  <si>
    <t>Monthly Sales Revenue</t>
  </si>
  <si>
    <t>EXIT EXAMPLE</t>
  </si>
  <si>
    <t>Annual Sales Revenue</t>
  </si>
  <si>
    <t>COMPANY SALE METRICS</t>
  </si>
  <si>
    <t xml:space="preserve">           PLATFORM REVENUES NET OF SERVICE PROVIDER COST</t>
  </si>
  <si>
    <t xml:space="preserve">                                  COMPANY SALE VALUATION CALCULATOR</t>
  </si>
  <si>
    <t>ATTACHMENT S1</t>
  </si>
  <si>
    <t>ALL YELLOW CELLS ARE EDITABLE</t>
  </si>
  <si>
    <t>SAFE SERIES ONE EXAMPLE EXIT VALUATION</t>
  </si>
  <si>
    <t>CKA / CO-FOUNDER ALLOCATIONS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</si>
</sst>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;[Red]\-&quot;$&quot;#,##0"/>
    <numFmt numFmtId="8" formatCode="&quot;$&quot;#,##0.00;[Red]\-&quot;$&quot;#,##0.00"/>
    <numFmt numFmtId="164" formatCode="&quot;$&quot;#,##0"/>
    <numFmt numFmtId="165" formatCode="0.0%"/>
    <numFmt numFmtId="166" formatCode="&quot;$&quot;#,##0.00"/>
    <numFmt numFmtId="167" formatCode="&quot;$&quot;#,##0.0;[Red]\-&quot;$&quot;#,##0.0"/>
    <numFmt numFmtId="168" formatCode="#,##0_ ;[Red]\-#,##0\ "/>
    <numFmt numFmtId="169" formatCode="_(* #,##0.00_);_(* \(#,##0.00\);_(* &quot;-&quot;??_);_(@_)"/>
    <numFmt numFmtId="170" formatCode="_(&quot;$&quot;* #,##0.00_);_(&quot;$&quot;* \(#,##0.00\);_(&quot;$&quot;* &quot;-&quot;??_);_(@_)"/>
  </numFmts>
  <fonts count="3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sz val="18"/>
      <color theme="1"/>
      <name val="Calibri"/>
      <scheme val="minor"/>
    </font>
    <font>
      <b/>
      <sz val="18"/>
      <color theme="5" tint="-0.499984740745262"/>
      <name val="Calibri"/>
      <scheme val="minor"/>
    </font>
    <font>
      <b/>
      <sz val="18"/>
      <color theme="1"/>
      <name val="Calibri"/>
      <scheme val="minor"/>
    </font>
    <font>
      <sz val="14"/>
      <color theme="0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  <font>
      <b/>
      <sz val="16"/>
      <color theme="1"/>
      <name val="Calibri"/>
      <scheme val="minor"/>
    </font>
    <font>
      <sz val="16"/>
      <color theme="1"/>
      <name val="Calibri"/>
      <scheme val="minor"/>
    </font>
    <font>
      <b/>
      <sz val="14"/>
      <color theme="0"/>
      <name val="Calibri"/>
      <scheme val="minor"/>
    </font>
    <font>
      <sz val="16"/>
      <color theme="0"/>
      <name val="Calibri"/>
      <scheme val="minor"/>
    </font>
    <font>
      <b/>
      <sz val="16"/>
      <color theme="0"/>
      <name val="Calibri"/>
      <scheme val="minor"/>
    </font>
    <font>
      <b/>
      <sz val="16"/>
      <color theme="5" tint="-0.499984740745262"/>
      <name val="Calibri"/>
      <scheme val="minor"/>
    </font>
    <font>
      <b/>
      <sz val="14"/>
      <color rgb="FF660066"/>
      <name val="Calibri"/>
      <scheme val="minor"/>
    </font>
    <font>
      <sz val="14"/>
      <color rgb="FF000000"/>
      <name val="Calibri"/>
      <scheme val="minor"/>
    </font>
    <font>
      <b/>
      <sz val="14"/>
      <color rgb="FF000000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sz val="14"/>
      <color rgb="FF0000FF"/>
      <name val="Calibri"/>
      <scheme val="minor"/>
    </font>
    <font>
      <b/>
      <sz val="14"/>
      <color rgb="FF0000FF"/>
      <name val="Calibri"/>
      <scheme val="minor"/>
    </font>
    <font>
      <b/>
      <sz val="14"/>
      <name val="Calibri"/>
      <scheme val="minor"/>
    </font>
    <font>
      <i/>
      <sz val="14"/>
      <color theme="0"/>
      <name val="Calibri"/>
      <scheme val="minor"/>
    </font>
    <font>
      <sz val="12"/>
      <color rgb="FF000000"/>
      <name val="Arial"/>
    </font>
    <font>
      <b/>
      <sz val="16"/>
      <color rgb="FF000000"/>
      <name val="Arial"/>
    </font>
    <font>
      <sz val="14"/>
      <color theme="0" tint="-0.14999847407452621"/>
      <name val="Calibri"/>
      <scheme val="minor"/>
    </font>
    <font>
      <sz val="16"/>
      <color rgb="FF000000"/>
      <name val="Arial"/>
    </font>
    <font>
      <sz val="16"/>
      <color rgb="FFFF0000"/>
      <name val="Arial"/>
    </font>
    <font>
      <sz val="14"/>
      <name val="Calibri"/>
      <scheme val="minor"/>
    </font>
    <font>
      <sz val="16"/>
      <name val="Calibri"/>
      <scheme val="minor"/>
    </font>
    <font>
      <sz val="24"/>
      <color theme="1"/>
      <name val="Calibri"/>
      <scheme val="minor"/>
    </font>
    <font>
      <b/>
      <sz val="24"/>
      <color theme="1"/>
      <name val="Calibri"/>
      <scheme val="minor"/>
    </font>
    <font>
      <sz val="10"/>
      <color rgb="FF000000"/>
      <name val="Arial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rgb="FF000000"/>
      </patternFill>
    </fill>
  </fills>
  <borders count="62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Dashed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5" fillId="0" borderId="0"/>
  </cellStyleXfs>
  <cellXfs count="360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/>
    </xf>
    <xf numFmtId="0" fontId="2" fillId="0" borderId="1" xfId="0" applyFont="1" applyBorder="1" applyProtection="1"/>
    <xf numFmtId="0" fontId="3" fillId="0" borderId="2" xfId="0" applyFont="1" applyBorder="1" applyProtection="1"/>
    <xf numFmtId="0" fontId="2" fillId="0" borderId="2" xfId="0" applyFont="1" applyBorder="1" applyProtection="1"/>
    <xf numFmtId="10" fontId="2" fillId="0" borderId="2" xfId="0" applyNumberFormat="1" applyFont="1" applyBorder="1" applyProtection="1"/>
    <xf numFmtId="0" fontId="2" fillId="0" borderId="3" xfId="0" applyFont="1" applyBorder="1" applyProtection="1"/>
    <xf numFmtId="4" fontId="4" fillId="0" borderId="4" xfId="0" applyNumberFormat="1" applyFont="1" applyBorder="1" applyProtection="1"/>
    <xf numFmtId="164" fontId="5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10" fontId="6" fillId="0" borderId="0" xfId="0" applyNumberFormat="1" applyFont="1" applyBorder="1" applyAlignment="1" applyProtection="1">
      <alignment horizontal="left"/>
    </xf>
    <xf numFmtId="10" fontId="6" fillId="0" borderId="0" xfId="0" applyNumberFormat="1" applyFont="1" applyBorder="1" applyAlignment="1" applyProtection="1">
      <alignment horizontal="center"/>
    </xf>
    <xf numFmtId="10" fontId="4" fillId="0" borderId="0" xfId="0" applyNumberFormat="1" applyFont="1" applyProtection="1"/>
    <xf numFmtId="0" fontId="4" fillId="0" borderId="0" xfId="0" applyFont="1" applyProtection="1"/>
    <xf numFmtId="10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/>
    </xf>
    <xf numFmtId="9" fontId="2" fillId="0" borderId="0" xfId="0" applyNumberFormat="1" applyFont="1" applyBorder="1" applyAlignment="1" applyProtection="1">
      <alignment horizontal="center"/>
    </xf>
    <xf numFmtId="9" fontId="7" fillId="0" borderId="5" xfId="0" applyNumberFormat="1" applyFont="1" applyBorder="1" applyAlignment="1" applyProtection="1">
      <alignment horizontal="center"/>
    </xf>
    <xf numFmtId="0" fontId="4" fillId="0" borderId="4" xfId="0" applyFont="1" applyBorder="1" applyProtection="1"/>
    <xf numFmtId="0" fontId="6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0" fontId="8" fillId="0" borderId="4" xfId="0" applyNumberFormat="1" applyFont="1" applyBorder="1" applyAlignment="1" applyProtection="1">
      <alignment horizontal="center"/>
    </xf>
    <xf numFmtId="10" fontId="9" fillId="0" borderId="0" xfId="0" applyNumberFormat="1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left"/>
    </xf>
    <xf numFmtId="10" fontId="9" fillId="0" borderId="0" xfId="0" applyNumberFormat="1" applyFont="1" applyBorder="1" applyAlignment="1" applyProtection="1">
      <alignment horizontal="left"/>
    </xf>
    <xf numFmtId="10" fontId="9" fillId="0" borderId="0" xfId="0" applyNumberFormat="1" applyFont="1" applyProtection="1"/>
    <xf numFmtId="164" fontId="10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10" fontId="4" fillId="0" borderId="0" xfId="0" applyNumberFormat="1" applyFont="1" applyBorder="1" applyAlignment="1" applyProtection="1">
      <alignment horizontal="center"/>
    </xf>
    <xf numFmtId="0" fontId="2" fillId="0" borderId="4" xfId="0" applyFont="1" applyBorder="1" applyProtection="1"/>
    <xf numFmtId="0" fontId="2" fillId="0" borderId="0" xfId="0" applyFont="1" applyBorder="1" applyAlignment="1" applyProtection="1">
      <alignment horizontal="center"/>
    </xf>
    <xf numFmtId="10" fontId="11" fillId="0" borderId="0" xfId="0" applyNumberFormat="1" applyFont="1" applyBorder="1" applyAlignment="1" applyProtection="1">
      <alignment horizontal="center"/>
    </xf>
    <xf numFmtId="165" fontId="11" fillId="0" borderId="0" xfId="0" applyNumberFormat="1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6" xfId="0" applyFont="1" applyBorder="1" applyProtection="1"/>
    <xf numFmtId="0" fontId="3" fillId="0" borderId="7" xfId="0" applyFont="1" applyBorder="1" applyProtection="1"/>
    <xf numFmtId="0" fontId="2" fillId="0" borderId="7" xfId="0" applyFont="1" applyBorder="1" applyProtection="1"/>
    <xf numFmtId="0" fontId="2" fillId="0" borderId="7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0" borderId="12" xfId="0" applyFont="1" applyBorder="1" applyProtection="1"/>
    <xf numFmtId="0" fontId="12" fillId="0" borderId="13" xfId="0" applyFont="1" applyBorder="1" applyProtection="1"/>
    <xf numFmtId="0" fontId="2" fillId="0" borderId="13" xfId="0" applyFont="1" applyBorder="1" applyProtection="1"/>
    <xf numFmtId="0" fontId="3" fillId="0" borderId="13" xfId="0" applyFont="1" applyBorder="1" applyProtection="1"/>
    <xf numFmtId="0" fontId="2" fillId="0" borderId="14" xfId="0" applyFont="1" applyBorder="1" applyProtection="1"/>
    <xf numFmtId="0" fontId="13" fillId="0" borderId="15" xfId="0" applyFont="1" applyBorder="1" applyAlignment="1" applyProtection="1">
      <alignment horizontal="center"/>
    </xf>
    <xf numFmtId="0" fontId="14" fillId="0" borderId="0" xfId="0" applyFont="1" applyBorder="1" applyProtection="1"/>
    <xf numFmtId="0" fontId="14" fillId="0" borderId="0" xfId="0" applyFont="1" applyBorder="1" applyAlignment="1" applyProtection="1">
      <alignment horizontal="right"/>
    </xf>
    <xf numFmtId="0" fontId="12" fillId="0" borderId="16" xfId="0" applyFont="1" applyBorder="1" applyProtection="1"/>
    <xf numFmtId="164" fontId="12" fillId="0" borderId="17" xfId="0" applyNumberFormat="1" applyFont="1" applyBorder="1" applyProtection="1"/>
    <xf numFmtId="0" fontId="12" fillId="0" borderId="17" xfId="0" applyFont="1" applyBorder="1" applyProtection="1"/>
    <xf numFmtId="0" fontId="2" fillId="0" borderId="17" xfId="0" applyFont="1" applyBorder="1" applyProtection="1"/>
    <xf numFmtId="0" fontId="3" fillId="0" borderId="17" xfId="0" applyFont="1" applyBorder="1" applyProtection="1"/>
    <xf numFmtId="0" fontId="2" fillId="0" borderId="17" xfId="0" applyFont="1" applyFill="1" applyBorder="1" applyAlignment="1" applyProtection="1">
      <alignment horizontal="center"/>
    </xf>
    <xf numFmtId="165" fontId="2" fillId="0" borderId="17" xfId="0" applyNumberFormat="1" applyFont="1" applyBorder="1" applyProtection="1"/>
    <xf numFmtId="0" fontId="2" fillId="0" borderId="17" xfId="0" applyFont="1" applyBorder="1" applyAlignment="1" applyProtection="1"/>
    <xf numFmtId="3" fontId="2" fillId="0" borderId="18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0" fontId="2" fillId="0" borderId="19" xfId="0" applyFont="1" applyBorder="1" applyProtection="1"/>
    <xf numFmtId="164" fontId="13" fillId="0" borderId="15" xfId="0" applyNumberFormat="1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right"/>
    </xf>
    <xf numFmtId="0" fontId="12" fillId="2" borderId="16" xfId="0" applyFont="1" applyFill="1" applyBorder="1" applyProtection="1"/>
    <xf numFmtId="164" fontId="12" fillId="2" borderId="17" xfId="0" applyNumberFormat="1" applyFont="1" applyFill="1" applyBorder="1" applyProtection="1"/>
    <xf numFmtId="0" fontId="12" fillId="2" borderId="17" xfId="0" applyFont="1" applyFill="1" applyBorder="1" applyProtection="1"/>
    <xf numFmtId="0" fontId="2" fillId="2" borderId="17" xfId="0" applyFont="1" applyFill="1" applyBorder="1" applyProtection="1"/>
    <xf numFmtId="0" fontId="3" fillId="2" borderId="17" xfId="0" applyFont="1" applyFill="1" applyBorder="1" applyProtection="1"/>
    <xf numFmtId="0" fontId="2" fillId="2" borderId="17" xfId="0" applyFont="1" applyFill="1" applyBorder="1" applyAlignment="1" applyProtection="1">
      <alignment horizontal="center"/>
    </xf>
    <xf numFmtId="165" fontId="2" fillId="2" borderId="17" xfId="0" applyNumberFormat="1" applyFont="1" applyFill="1" applyBorder="1" applyProtection="1"/>
    <xf numFmtId="0" fontId="2" fillId="2" borderId="17" xfId="0" applyFont="1" applyFill="1" applyBorder="1" applyAlignment="1" applyProtection="1"/>
    <xf numFmtId="3" fontId="2" fillId="2" borderId="18" xfId="0" applyNumberFormat="1" applyFont="1" applyFill="1" applyBorder="1" applyAlignment="1" applyProtection="1"/>
    <xf numFmtId="10" fontId="2" fillId="0" borderId="0" xfId="0" applyNumberFormat="1" applyFont="1" applyProtection="1"/>
    <xf numFmtId="3" fontId="7" fillId="0" borderId="15" xfId="0" applyNumberFormat="1" applyFont="1" applyBorder="1" applyAlignment="1" applyProtection="1">
      <alignment horizontal="center"/>
    </xf>
    <xf numFmtId="0" fontId="15" fillId="0" borderId="0" xfId="0" applyFont="1" applyProtection="1"/>
    <xf numFmtId="0" fontId="14" fillId="0" borderId="0" xfId="0" applyFont="1" applyAlignment="1" applyProtection="1">
      <alignment horizontal="right"/>
    </xf>
    <xf numFmtId="0" fontId="3" fillId="0" borderId="17" xfId="0" applyFont="1" applyBorder="1" applyAlignment="1" applyProtection="1">
      <alignment horizontal="center"/>
    </xf>
    <xf numFmtId="3" fontId="2" fillId="0" borderId="18" xfId="0" applyNumberFormat="1" applyFont="1" applyBorder="1" applyProtection="1"/>
    <xf numFmtId="1" fontId="2" fillId="0" borderId="0" xfId="0" applyNumberFormat="1" applyFont="1" applyProtection="1"/>
    <xf numFmtId="0" fontId="3" fillId="2" borderId="17" xfId="0" applyFont="1" applyFill="1" applyBorder="1" applyAlignment="1" applyProtection="1">
      <alignment horizontal="center"/>
    </xf>
    <xf numFmtId="0" fontId="7" fillId="0" borderId="15" xfId="0" applyFont="1" applyBorder="1" applyProtection="1"/>
    <xf numFmtId="0" fontId="15" fillId="0" borderId="0" xfId="0" applyFont="1" applyBorder="1" applyAlignment="1" applyProtection="1">
      <alignment horizontal="center"/>
    </xf>
    <xf numFmtId="164" fontId="16" fillId="0" borderId="17" xfId="0" applyNumberFormat="1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Protection="1"/>
    <xf numFmtId="0" fontId="17" fillId="0" borderId="19" xfId="0" applyFont="1" applyBorder="1" applyProtection="1"/>
    <xf numFmtId="10" fontId="12" fillId="0" borderId="0" xfId="0" applyNumberFormat="1" applyFont="1" applyBorder="1" applyProtection="1"/>
    <xf numFmtId="0" fontId="12" fillId="0" borderId="0" xfId="0" applyFont="1" applyFill="1" applyBorder="1" applyProtection="1"/>
    <xf numFmtId="0" fontId="2" fillId="0" borderId="15" xfId="0" applyFont="1" applyBorder="1" applyProtection="1"/>
    <xf numFmtId="0" fontId="12" fillId="0" borderId="0" xfId="0" applyFont="1" applyBorder="1" applyProtection="1"/>
    <xf numFmtId="166" fontId="11" fillId="0" borderId="0" xfId="0" applyNumberFormat="1" applyFont="1" applyBorder="1" applyProtection="1"/>
    <xf numFmtId="0" fontId="12" fillId="0" borderId="0" xfId="0" applyFont="1" applyBorder="1" applyAlignment="1" applyProtection="1">
      <alignment horizontal="right"/>
    </xf>
    <xf numFmtId="10" fontId="11" fillId="0" borderId="0" xfId="0" applyNumberFormat="1" applyFont="1" applyBorder="1" applyAlignment="1" applyProtection="1">
      <alignment horizontal="right"/>
    </xf>
    <xf numFmtId="166" fontId="2" fillId="0" borderId="0" xfId="0" applyNumberFormat="1" applyFont="1" applyBorder="1" applyProtection="1"/>
    <xf numFmtId="3" fontId="11" fillId="0" borderId="0" xfId="0" applyNumberFormat="1" applyFont="1" applyBorder="1" applyProtection="1"/>
    <xf numFmtId="164" fontId="11" fillId="0" borderId="0" xfId="0" applyNumberFormat="1" applyFont="1" applyBorder="1" applyProtection="1"/>
    <xf numFmtId="0" fontId="11" fillId="0" borderId="0" xfId="0" applyFont="1" applyBorder="1" applyAlignment="1" applyProtection="1">
      <alignment horizontal="right"/>
    </xf>
    <xf numFmtId="9" fontId="11" fillId="0" borderId="0" xfId="0" applyNumberFormat="1" applyFont="1" applyBorder="1" applyAlignment="1" applyProtection="1">
      <alignment horizontal="right"/>
    </xf>
    <xf numFmtId="0" fontId="2" fillId="0" borderId="0" xfId="0" applyFont="1" applyFill="1" applyBorder="1" applyProtection="1"/>
    <xf numFmtId="3" fontId="2" fillId="0" borderId="0" xfId="0" applyNumberFormat="1" applyFont="1" applyBorder="1" applyProtection="1"/>
    <xf numFmtId="3" fontId="2" fillId="0" borderId="20" xfId="0" applyNumberFormat="1" applyFont="1" applyBorder="1" applyProtection="1"/>
    <xf numFmtId="164" fontId="2" fillId="0" borderId="20" xfId="0" applyNumberFormat="1" applyFont="1" applyBorder="1" applyProtection="1"/>
    <xf numFmtId="9" fontId="2" fillId="0" borderId="20" xfId="0" applyNumberFormat="1" applyFont="1" applyBorder="1" applyAlignment="1" applyProtection="1">
      <alignment horizontal="center"/>
    </xf>
    <xf numFmtId="166" fontId="2" fillId="0" borderId="20" xfId="0" applyNumberFormat="1" applyFont="1" applyFill="1" applyBorder="1" applyAlignment="1" applyProtection="1">
      <alignment horizontal="center"/>
    </xf>
    <xf numFmtId="166" fontId="7" fillId="0" borderId="20" xfId="0" applyNumberFormat="1" applyFont="1" applyFill="1" applyBorder="1" applyAlignment="1" applyProtection="1">
      <alignment horizontal="center"/>
    </xf>
    <xf numFmtId="0" fontId="2" fillId="0" borderId="20" xfId="0" applyFont="1" applyBorder="1" applyProtection="1"/>
    <xf numFmtId="164" fontId="2" fillId="0" borderId="21" xfId="0" applyNumberFormat="1" applyFont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0" fontId="2" fillId="0" borderId="22" xfId="0" applyFont="1" applyBorder="1" applyProtection="1"/>
    <xf numFmtId="165" fontId="3" fillId="0" borderId="22" xfId="0" applyNumberFormat="1" applyFont="1" applyBorder="1" applyAlignment="1" applyProtection="1">
      <alignment horizontal="center"/>
    </xf>
    <xf numFmtId="0" fontId="7" fillId="0" borderId="22" xfId="0" applyFont="1" applyFill="1" applyBorder="1" applyProtection="1"/>
    <xf numFmtId="0" fontId="2" fillId="0" borderId="22" xfId="0" applyFont="1" applyFill="1" applyBorder="1" applyAlignment="1" applyProtection="1">
      <alignment horizontal="center"/>
    </xf>
    <xf numFmtId="9" fontId="2" fillId="0" borderId="22" xfId="0" applyNumberFormat="1" applyFont="1" applyBorder="1" applyProtection="1"/>
    <xf numFmtId="0" fontId="3" fillId="0" borderId="23" xfId="0" applyFont="1" applyBorder="1" applyProtection="1"/>
    <xf numFmtId="164" fontId="2" fillId="0" borderId="15" xfId="0" applyNumberFormat="1" applyFont="1" applyBorder="1" applyProtection="1"/>
    <xf numFmtId="164" fontId="2" fillId="0" borderId="4" xfId="0" applyNumberFormat="1" applyFont="1" applyBorder="1" applyAlignment="1" applyProtection="1">
      <alignment horizontal="center"/>
    </xf>
    <xf numFmtId="3" fontId="2" fillId="0" borderId="0" xfId="0" applyNumberFormat="1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</xf>
    <xf numFmtId="9" fontId="7" fillId="0" borderId="0" xfId="0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9" fontId="2" fillId="0" borderId="0" xfId="0" applyNumberFormat="1" applyFont="1" applyBorder="1" applyProtection="1"/>
    <xf numFmtId="0" fontId="3" fillId="0" borderId="5" xfId="0" applyFont="1" applyBorder="1" applyProtection="1"/>
    <xf numFmtId="0" fontId="7" fillId="0" borderId="0" xfId="0" applyFont="1" applyFill="1" applyBorder="1" applyAlignment="1" applyProtection="1">
      <alignment horizontal="center" vertical="center"/>
    </xf>
    <xf numFmtId="3" fontId="2" fillId="0" borderId="19" xfId="0" applyNumberFormat="1" applyFont="1" applyBorder="1" applyProtection="1"/>
    <xf numFmtId="164" fontId="2" fillId="0" borderId="24" xfId="0" applyNumberFormat="1" applyFont="1" applyBorder="1" applyAlignment="1" applyProtection="1">
      <alignment horizontal="center"/>
    </xf>
    <xf numFmtId="3" fontId="2" fillId="0" borderId="25" xfId="0" applyNumberFormat="1" applyFont="1" applyBorder="1" applyAlignment="1" applyProtection="1">
      <alignment horizontal="center"/>
    </xf>
    <xf numFmtId="0" fontId="2" fillId="0" borderId="25" xfId="0" applyFont="1" applyBorder="1" applyProtection="1"/>
    <xf numFmtId="165" fontId="2" fillId="0" borderId="25" xfId="0" applyNumberFormat="1" applyFont="1" applyBorder="1" applyAlignment="1" applyProtection="1">
      <alignment horizontal="center"/>
    </xf>
    <xf numFmtId="10" fontId="7" fillId="0" borderId="25" xfId="0" applyNumberFormat="1" applyFont="1" applyFill="1" applyBorder="1" applyAlignment="1" applyProtection="1">
      <alignment horizontal="center" vertical="center"/>
    </xf>
    <xf numFmtId="9" fontId="7" fillId="0" borderId="25" xfId="0" applyNumberFormat="1" applyFont="1" applyFill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/>
    </xf>
    <xf numFmtId="9" fontId="2" fillId="0" borderId="25" xfId="0" applyNumberFormat="1" applyFont="1" applyBorder="1" applyProtection="1"/>
    <xf numFmtId="0" fontId="3" fillId="0" borderId="26" xfId="0" applyFont="1" applyBorder="1" applyProtection="1"/>
    <xf numFmtId="0" fontId="3" fillId="0" borderId="15" xfId="0" applyFont="1" applyBorder="1" applyProtection="1"/>
    <xf numFmtId="0" fontId="13" fillId="0" borderId="2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3" fillId="0" borderId="19" xfId="0" applyFont="1" applyBorder="1" applyProtection="1"/>
    <xf numFmtId="0" fontId="2" fillId="0" borderId="27" xfId="0" applyFont="1" applyBorder="1" applyAlignment="1" applyProtection="1">
      <alignment horizontal="center"/>
    </xf>
    <xf numFmtId="166" fontId="2" fillId="0" borderId="28" xfId="0" applyNumberFormat="1" applyFont="1" applyBorder="1" applyAlignment="1" applyProtection="1">
      <alignment horizontal="center"/>
    </xf>
    <xf numFmtId="0" fontId="18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164" fontId="2" fillId="0" borderId="29" xfId="0" applyNumberFormat="1" applyFont="1" applyBorder="1" applyAlignment="1" applyProtection="1">
      <alignment horizontal="center"/>
    </xf>
    <xf numFmtId="10" fontId="18" fillId="0" borderId="29" xfId="0" applyNumberFormat="1" applyFont="1" applyBorder="1" applyAlignment="1" applyProtection="1">
      <alignment horizontal="center"/>
    </xf>
    <xf numFmtId="0" fontId="2" fillId="0" borderId="29" xfId="0" applyFont="1" applyBorder="1" applyAlignment="1" applyProtection="1"/>
    <xf numFmtId="10" fontId="18" fillId="0" borderId="29" xfId="0" applyNumberFormat="1" applyFont="1" applyBorder="1" applyAlignment="1" applyProtection="1">
      <alignment horizontal="center"/>
    </xf>
    <xf numFmtId="164" fontId="2" fillId="0" borderId="29" xfId="0" applyNumberFormat="1" applyFont="1" applyBorder="1" applyAlignment="1" applyProtection="1">
      <alignment horizontal="center"/>
    </xf>
    <xf numFmtId="164" fontId="2" fillId="0" borderId="28" xfId="0" applyNumberFormat="1" applyFont="1" applyBorder="1" applyAlignment="1" applyProtection="1">
      <alignment horizontal="center"/>
    </xf>
    <xf numFmtId="0" fontId="2" fillId="3" borderId="30" xfId="0" applyFont="1" applyFill="1" applyBorder="1" applyAlignment="1" applyProtection="1">
      <alignment horizontal="center" vertical="center"/>
    </xf>
    <xf numFmtId="0" fontId="2" fillId="3" borderId="31" xfId="0" applyFont="1" applyFill="1" applyBorder="1" applyAlignment="1" applyProtection="1">
      <alignment horizontal="center" vertical="center"/>
    </xf>
    <xf numFmtId="0" fontId="19" fillId="0" borderId="3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9" fillId="0" borderId="0" xfId="0" applyFont="1" applyBorder="1" applyAlignment="1" applyProtection="1">
      <alignment horizontal="center"/>
    </xf>
    <xf numFmtId="0" fontId="3" fillId="0" borderId="31" xfId="0" applyFont="1" applyBorder="1" applyAlignment="1" applyProtection="1">
      <alignment horizontal="center"/>
    </xf>
    <xf numFmtId="0" fontId="2" fillId="3" borderId="32" xfId="0" applyFont="1" applyFill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2" fillId="0" borderId="7" xfId="0" applyFont="1" applyBorder="1" applyAlignment="1" applyProtection="1"/>
    <xf numFmtId="0" fontId="19" fillId="0" borderId="7" xfId="0" applyFont="1" applyBorder="1" applyAlignment="1" applyProtection="1">
      <alignment horizontal="center"/>
    </xf>
    <xf numFmtId="0" fontId="2" fillId="0" borderId="33" xfId="0" applyFont="1" applyBorder="1" applyAlignment="1" applyProtection="1">
      <alignment horizontal="center"/>
    </xf>
    <xf numFmtId="0" fontId="7" fillId="0" borderId="0" xfId="0" applyFont="1" applyBorder="1" applyProtection="1"/>
    <xf numFmtId="3" fontId="13" fillId="0" borderId="0" xfId="0" applyNumberFormat="1" applyFont="1" applyBorder="1" applyProtection="1"/>
    <xf numFmtId="0" fontId="13" fillId="0" borderId="0" xfId="0" applyFont="1" applyBorder="1" applyProtection="1"/>
    <xf numFmtId="0" fontId="7" fillId="0" borderId="0" xfId="0" applyFont="1" applyFill="1" applyBorder="1" applyProtection="1"/>
    <xf numFmtId="0" fontId="20" fillId="0" borderId="0" xfId="0" applyFont="1" applyFill="1" applyBorder="1" applyProtection="1"/>
    <xf numFmtId="164" fontId="21" fillId="0" borderId="0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horizontal="right"/>
    </xf>
    <xf numFmtId="164" fontId="23" fillId="0" borderId="0" xfId="0" applyNumberFormat="1" applyFont="1" applyBorder="1" applyProtection="1"/>
    <xf numFmtId="0" fontId="2" fillId="0" borderId="19" xfId="0" applyFont="1" applyBorder="1" applyAlignment="1" applyProtection="1">
      <alignment horizontal="right"/>
    </xf>
    <xf numFmtId="164" fontId="13" fillId="0" borderId="0" xfId="0" applyNumberFormat="1" applyFont="1" applyBorder="1" applyProtection="1"/>
    <xf numFmtId="0" fontId="13" fillId="0" borderId="0" xfId="0" applyFont="1" applyBorder="1" applyAlignment="1" applyProtection="1">
      <alignment horizontal="right"/>
    </xf>
    <xf numFmtId="164" fontId="20" fillId="0" borderId="0" xfId="0" applyNumberFormat="1" applyFont="1" applyFill="1" applyBorder="1" applyAlignment="1" applyProtection="1">
      <alignment horizontal="center"/>
    </xf>
    <xf numFmtId="164" fontId="24" fillId="2" borderId="34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9" fontId="7" fillId="0" borderId="0" xfId="0" applyNumberFormat="1" applyFont="1" applyBorder="1" applyProtection="1"/>
    <xf numFmtId="164" fontId="13" fillId="0" borderId="0" xfId="0" applyNumberFormat="1" applyFont="1" applyFill="1" applyBorder="1" applyProtection="1"/>
    <xf numFmtId="0" fontId="7" fillId="0" borderId="0" xfId="0" applyFont="1" applyBorder="1" applyAlignment="1" applyProtection="1">
      <alignment horizontal="right"/>
    </xf>
    <xf numFmtId="0" fontId="25" fillId="0" borderId="0" xfId="0" applyFont="1" applyFill="1" applyBorder="1" applyProtection="1"/>
    <xf numFmtId="0" fontId="22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2" fillId="0" borderId="0" xfId="0" applyNumberFormat="1" applyFont="1" applyBorder="1" applyAlignment="1" applyProtection="1">
      <alignment horizontal="center"/>
    </xf>
    <xf numFmtId="0" fontId="2" fillId="0" borderId="3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13" xfId="0" applyFont="1" applyFill="1" applyBorder="1" applyProtection="1"/>
    <xf numFmtId="0" fontId="4" fillId="0" borderId="13" xfId="0" applyFont="1" applyBorder="1" applyAlignment="1" applyProtection="1">
      <alignment horizontal="center" vertical="top"/>
    </xf>
    <xf numFmtId="0" fontId="2" fillId="0" borderId="38" xfId="0" applyFont="1" applyBorder="1" applyProtection="1"/>
    <xf numFmtId="0" fontId="3" fillId="0" borderId="39" xfId="0" applyFont="1" applyBorder="1" applyAlignment="1" applyProtection="1">
      <alignment vertical="center"/>
    </xf>
    <xf numFmtId="0" fontId="13" fillId="0" borderId="0" xfId="0" applyFont="1" applyAlignment="1" applyProtection="1">
      <alignment horizontal="right"/>
    </xf>
    <xf numFmtId="0" fontId="11" fillId="0" borderId="0" xfId="0" applyFont="1" applyAlignment="1" applyProtection="1">
      <alignment horizontal="right"/>
    </xf>
    <xf numFmtId="0" fontId="26" fillId="0" borderId="0" xfId="0" applyFont="1" applyProtection="1"/>
    <xf numFmtId="0" fontId="4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right"/>
    </xf>
    <xf numFmtId="8" fontId="13" fillId="0" borderId="0" xfId="0" applyNumberFormat="1" applyFont="1" applyProtection="1"/>
    <xf numFmtId="10" fontId="13" fillId="0" borderId="0" xfId="0" applyNumberFormat="1" applyFont="1" applyProtection="1"/>
    <xf numFmtId="0" fontId="27" fillId="0" borderId="0" xfId="0" applyFont="1" applyAlignment="1" applyProtection="1">
      <alignment horizontal="right"/>
    </xf>
    <xf numFmtId="0" fontId="3" fillId="0" borderId="0" xfId="0" applyFont="1" applyFill="1" applyBorder="1" applyProtection="1"/>
    <xf numFmtId="0" fontId="2" fillId="0" borderId="20" xfId="0" applyFont="1" applyFill="1" applyBorder="1" applyProtection="1"/>
    <xf numFmtId="0" fontId="3" fillId="2" borderId="40" xfId="0" applyFont="1" applyFill="1" applyBorder="1" applyProtection="1"/>
    <xf numFmtId="0" fontId="2" fillId="2" borderId="22" xfId="0" applyFont="1" applyFill="1" applyBorder="1" applyProtection="1"/>
    <xf numFmtId="0" fontId="2" fillId="2" borderId="41" xfId="0" applyFont="1" applyFill="1" applyBorder="1" applyProtection="1"/>
    <xf numFmtId="8" fontId="2" fillId="0" borderId="0" xfId="0" applyNumberFormat="1" applyFont="1" applyProtection="1"/>
    <xf numFmtId="0" fontId="3" fillId="2" borderId="42" xfId="0" applyFont="1" applyFill="1" applyBorder="1" applyProtection="1"/>
    <xf numFmtId="10" fontId="3" fillId="2" borderId="0" xfId="0" applyNumberFormat="1" applyFont="1" applyFill="1" applyProtection="1"/>
    <xf numFmtId="0" fontId="3" fillId="2" borderId="0" xfId="0" applyFont="1" applyFill="1" applyAlignment="1" applyProtection="1">
      <alignment horizontal="right"/>
    </xf>
    <xf numFmtId="0" fontId="2" fillId="2" borderId="0" xfId="0" applyFont="1" applyFill="1" applyProtection="1"/>
    <xf numFmtId="0" fontId="2" fillId="2" borderId="43" xfId="0" applyFont="1" applyFill="1" applyBorder="1" applyProtection="1"/>
    <xf numFmtId="0" fontId="3" fillId="0" borderId="0" xfId="0" applyFont="1" applyAlignment="1" applyProtection="1">
      <alignment horizontal="right"/>
    </xf>
    <xf numFmtId="0" fontId="3" fillId="2" borderId="44" xfId="0" applyFont="1" applyFill="1" applyBorder="1" applyProtection="1"/>
    <xf numFmtId="0" fontId="2" fillId="3" borderId="22" xfId="0" applyFont="1" applyFill="1" applyBorder="1" applyProtection="1"/>
    <xf numFmtId="0" fontId="2" fillId="3" borderId="41" xfId="0" applyFont="1" applyFill="1" applyBorder="1" applyProtection="1"/>
    <xf numFmtId="2" fontId="2" fillId="0" borderId="0" xfId="0" applyNumberFormat="1" applyFont="1" applyAlignment="1" applyProtection="1">
      <alignment horizontal="right"/>
    </xf>
    <xf numFmtId="0" fontId="2" fillId="3" borderId="0" xfId="0" applyFont="1" applyFill="1" applyProtection="1"/>
    <xf numFmtId="0" fontId="2" fillId="3" borderId="43" xfId="0" applyFont="1" applyFill="1" applyBorder="1" applyProtection="1"/>
    <xf numFmtId="10" fontId="3" fillId="4" borderId="34" xfId="0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3" fillId="2" borderId="44" xfId="0" applyFont="1" applyFill="1" applyBorder="1" applyAlignment="1" applyProtection="1">
      <alignment horizontal="center"/>
    </xf>
    <xf numFmtId="0" fontId="3" fillId="3" borderId="30" xfId="0" applyFont="1" applyFill="1" applyBorder="1" applyAlignment="1" applyProtection="1">
      <alignment horizontal="center"/>
    </xf>
    <xf numFmtId="0" fontId="2" fillId="3" borderId="43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3" fillId="3" borderId="43" xfId="0" applyFont="1" applyFill="1" applyBorder="1" applyAlignment="1" applyProtection="1">
      <alignment horizontal="center"/>
    </xf>
    <xf numFmtId="10" fontId="3" fillId="5" borderId="34" xfId="0" applyNumberFormat="1" applyFont="1" applyFill="1" applyBorder="1" applyAlignment="1" applyProtection="1">
      <alignment horizontal="center"/>
    </xf>
    <xf numFmtId="164" fontId="2" fillId="6" borderId="34" xfId="0" applyNumberFormat="1" applyFont="1" applyFill="1" applyBorder="1" applyAlignment="1" applyProtection="1">
      <alignment horizontal="center"/>
    </xf>
    <xf numFmtId="2" fontId="2" fillId="5" borderId="34" xfId="0" applyNumberFormat="1" applyFont="1" applyFill="1" applyBorder="1" applyAlignment="1" applyProtection="1">
      <alignment horizontal="center"/>
    </xf>
    <xf numFmtId="9" fontId="3" fillId="3" borderId="0" xfId="0" applyNumberFormat="1" applyFont="1" applyFill="1" applyBorder="1" applyAlignment="1" applyProtection="1">
      <alignment horizontal="center"/>
    </xf>
    <xf numFmtId="164" fontId="2" fillId="5" borderId="34" xfId="0" applyNumberFormat="1" applyFont="1" applyFill="1" applyBorder="1" applyAlignment="1" applyProtection="1">
      <alignment horizontal="center"/>
    </xf>
    <xf numFmtId="10" fontId="28" fillId="3" borderId="0" xfId="0" applyNumberFormat="1" applyFont="1" applyFill="1" applyProtection="1"/>
    <xf numFmtId="0" fontId="28" fillId="3" borderId="0" xfId="0" applyFont="1" applyFill="1" applyProtection="1"/>
    <xf numFmtId="0" fontId="3" fillId="3" borderId="0" xfId="0" applyFont="1" applyFill="1" applyAlignment="1" applyProtection="1">
      <alignment horizontal="center"/>
    </xf>
    <xf numFmtId="6" fontId="2" fillId="3" borderId="0" xfId="0" applyNumberFormat="1" applyFont="1" applyFill="1" applyProtection="1"/>
    <xf numFmtId="0" fontId="2" fillId="3" borderId="0" xfId="0" applyFont="1" applyFill="1" applyBorder="1" applyProtection="1"/>
    <xf numFmtId="0" fontId="2" fillId="3" borderId="42" xfId="0" applyFont="1" applyFill="1" applyBorder="1" applyProtection="1"/>
    <xf numFmtId="6" fontId="3" fillId="2" borderId="45" xfId="0" applyNumberFormat="1" applyFont="1" applyFill="1" applyBorder="1" applyAlignment="1" applyProtection="1">
      <alignment horizontal="center"/>
    </xf>
    <xf numFmtId="0" fontId="3" fillId="3" borderId="0" xfId="0" applyFont="1" applyFill="1" applyAlignment="1" applyProtection="1">
      <alignment horizontal="right"/>
    </xf>
    <xf numFmtId="0" fontId="2" fillId="3" borderId="0" xfId="0" applyFont="1" applyFill="1" applyBorder="1" applyAlignment="1" applyProtection="1"/>
    <xf numFmtId="0" fontId="2" fillId="3" borderId="43" xfId="0" applyFont="1" applyFill="1" applyBorder="1" applyAlignment="1" applyProtection="1"/>
    <xf numFmtId="0" fontId="2" fillId="0" borderId="22" xfId="0" applyFont="1" applyBorder="1" applyAlignment="1" applyProtection="1">
      <alignment horizontal="center"/>
    </xf>
    <xf numFmtId="0" fontId="2" fillId="0" borderId="41" xfId="0" applyFont="1" applyBorder="1" applyProtection="1"/>
    <xf numFmtId="0" fontId="2" fillId="0" borderId="46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43" xfId="0" applyFont="1" applyBorder="1" applyProtection="1"/>
    <xf numFmtId="0" fontId="3" fillId="0" borderId="42" xfId="0" applyFont="1" applyBorder="1" applyAlignment="1" applyProtection="1"/>
    <xf numFmtId="166" fontId="2" fillId="6" borderId="47" xfId="0" applyNumberFormat="1" applyFont="1" applyFill="1" applyBorder="1" applyAlignment="1" applyProtection="1"/>
    <xf numFmtId="166" fontId="2" fillId="6" borderId="18" xfId="0" applyNumberFormat="1" applyFont="1" applyFill="1" applyBorder="1" applyAlignment="1" applyProtection="1">
      <alignment horizontal="center"/>
    </xf>
    <xf numFmtId="166" fontId="2" fillId="5" borderId="34" xfId="0" applyNumberFormat="1" applyFont="1" applyFill="1" applyBorder="1" applyAlignment="1" applyProtection="1">
      <alignment horizontal="center"/>
    </xf>
    <xf numFmtId="164" fontId="2" fillId="7" borderId="34" xfId="0" applyNumberFormat="1" applyFont="1" applyFill="1" applyBorder="1" applyAlignment="1" applyProtection="1">
      <alignment horizontal="center"/>
    </xf>
    <xf numFmtId="9" fontId="2" fillId="0" borderId="0" xfId="0" applyNumberFormat="1" applyFont="1" applyFill="1" applyBorder="1" applyAlignment="1" applyProtection="1">
      <alignment horizontal="center"/>
    </xf>
    <xf numFmtId="8" fontId="2" fillId="2" borderId="0" xfId="0" applyNumberFormat="1" applyFont="1" applyFill="1" applyBorder="1" applyAlignment="1" applyProtection="1">
      <alignment horizontal="center"/>
    </xf>
    <xf numFmtId="2" fontId="2" fillId="0" borderId="0" xfId="0" applyNumberFormat="1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6" fontId="2" fillId="0" borderId="0" xfId="0" applyNumberFormat="1" applyFont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167" fontId="2" fillId="0" borderId="0" xfId="0" applyNumberFormat="1" applyFont="1" applyProtection="1"/>
    <xf numFmtId="0" fontId="2" fillId="3" borderId="46" xfId="0" applyFont="1" applyFill="1" applyBorder="1" applyProtection="1"/>
    <xf numFmtId="0" fontId="2" fillId="3" borderId="2" xfId="0" applyFont="1" applyFill="1" applyBorder="1" applyProtection="1"/>
    <xf numFmtId="0" fontId="2" fillId="3" borderId="2" xfId="0" applyFont="1" applyFill="1" applyBorder="1" applyAlignment="1" applyProtection="1"/>
    <xf numFmtId="0" fontId="2" fillId="3" borderId="48" xfId="0" applyFont="1" applyFill="1" applyBorder="1" applyAlignment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right"/>
    </xf>
    <xf numFmtId="6" fontId="3" fillId="8" borderId="49" xfId="0" applyNumberFormat="1" applyFont="1" applyFill="1" applyBorder="1" applyAlignment="1" applyProtection="1">
      <alignment horizontal="center"/>
    </xf>
    <xf numFmtId="0" fontId="3" fillId="3" borderId="0" xfId="0" applyFont="1" applyFill="1" applyProtection="1"/>
    <xf numFmtId="0" fontId="3" fillId="3" borderId="43" xfId="0" applyFont="1" applyFill="1" applyBorder="1" applyAlignment="1" applyProtection="1">
      <alignment horizontal="right"/>
    </xf>
    <xf numFmtId="6" fontId="2" fillId="3" borderId="0" xfId="0" applyNumberFormat="1" applyFont="1" applyFill="1" applyAlignment="1" applyProtection="1">
      <alignment horizontal="center"/>
    </xf>
    <xf numFmtId="10" fontId="2" fillId="3" borderId="0" xfId="0" applyNumberFormat="1" applyFont="1" applyFill="1" applyProtection="1"/>
    <xf numFmtId="2" fontId="2" fillId="3" borderId="0" xfId="0" applyNumberFormat="1" applyFont="1" applyFill="1" applyProtection="1"/>
    <xf numFmtId="6" fontId="3" fillId="3" borderId="0" xfId="0" applyNumberFormat="1" applyFont="1" applyFill="1" applyProtection="1"/>
    <xf numFmtId="0" fontId="2" fillId="3" borderId="50" xfId="0" applyFont="1" applyFill="1" applyBorder="1" applyProtection="1"/>
    <xf numFmtId="0" fontId="2" fillId="3" borderId="7" xfId="0" applyFont="1" applyFill="1" applyBorder="1" applyProtection="1"/>
    <xf numFmtId="9" fontId="2" fillId="3" borderId="0" xfId="0" applyNumberFormat="1" applyFont="1" applyFill="1" applyBorder="1" applyProtection="1"/>
    <xf numFmtId="0" fontId="2" fillId="0" borderId="51" xfId="0" applyFont="1" applyBorder="1" applyProtection="1"/>
    <xf numFmtId="9" fontId="2" fillId="0" borderId="22" xfId="0" applyNumberFormat="1" applyFont="1" applyFill="1" applyBorder="1" applyProtection="1"/>
    <xf numFmtId="0" fontId="2" fillId="0" borderId="52" xfId="0" applyFont="1" applyBorder="1" applyProtection="1"/>
    <xf numFmtId="0" fontId="2" fillId="0" borderId="27" xfId="0" applyFont="1" applyBorder="1" applyProtection="1"/>
    <xf numFmtId="0" fontId="2" fillId="0" borderId="29" xfId="0" applyFont="1" applyBorder="1" applyProtection="1"/>
    <xf numFmtId="0" fontId="2" fillId="0" borderId="28" xfId="0" applyFont="1" applyBorder="1" applyProtection="1"/>
    <xf numFmtId="0" fontId="2" fillId="0" borderId="30" xfId="0" applyFont="1" applyBorder="1" applyProtection="1"/>
    <xf numFmtId="6" fontId="3" fillId="3" borderId="34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18" fillId="0" borderId="31" xfId="0" applyFont="1" applyBorder="1" applyProtection="1"/>
    <xf numFmtId="0" fontId="22" fillId="0" borderId="0" xfId="0" applyFont="1" applyFill="1" applyBorder="1" applyAlignment="1" applyProtection="1">
      <alignment vertical="center"/>
    </xf>
    <xf numFmtId="10" fontId="2" fillId="2" borderId="34" xfId="0" applyNumberFormat="1" applyFont="1" applyFill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2" fillId="0" borderId="53" xfId="0" applyFont="1" applyBorder="1" applyProtection="1"/>
    <xf numFmtId="0" fontId="12" fillId="0" borderId="42" xfId="0" applyFont="1" applyBorder="1" applyAlignment="1" applyProtection="1"/>
    <xf numFmtId="0" fontId="12" fillId="0" borderId="0" xfId="0" applyFont="1" applyAlignment="1" applyProtection="1"/>
    <xf numFmtId="0" fontId="29" fillId="0" borderId="43" xfId="0" applyFont="1" applyBorder="1" applyAlignment="1" applyProtection="1">
      <alignment horizontal="center"/>
    </xf>
    <xf numFmtId="6" fontId="3" fillId="3" borderId="34" xfId="0" applyNumberFormat="1" applyFont="1" applyFill="1" applyBorder="1" applyAlignment="1" applyProtection="1">
      <alignment vertical="center"/>
      <protection locked="0"/>
    </xf>
    <xf numFmtId="0" fontId="2" fillId="0" borderId="31" xfId="0" applyFont="1" applyBorder="1" applyProtection="1"/>
    <xf numFmtId="9" fontId="19" fillId="9" borderId="34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8" borderId="34" xfId="0" applyFont="1" applyFill="1" applyBorder="1" applyAlignment="1" applyProtection="1">
      <alignment horizontal="right"/>
      <protection locked="0"/>
    </xf>
    <xf numFmtId="0" fontId="2" fillId="0" borderId="32" xfId="0" applyFont="1" applyBorder="1" applyProtection="1"/>
    <xf numFmtId="0" fontId="2" fillId="0" borderId="33" xfId="0" applyFont="1" applyBorder="1" applyProtection="1"/>
    <xf numFmtId="0" fontId="3" fillId="0" borderId="0" xfId="0" applyFont="1" applyFill="1" applyBorder="1" applyAlignment="1" applyProtection="1">
      <alignment horizontal="center"/>
    </xf>
    <xf numFmtId="0" fontId="2" fillId="0" borderId="54" xfId="0" applyFont="1" applyBorder="1" applyProtection="1"/>
    <xf numFmtId="0" fontId="2" fillId="0" borderId="55" xfId="0" applyFont="1" applyBorder="1" applyProtection="1"/>
    <xf numFmtId="0" fontId="3" fillId="0" borderId="22" xfId="0" applyFont="1" applyBorder="1" applyProtection="1"/>
    <xf numFmtId="0" fontId="24" fillId="0" borderId="0" xfId="0" applyFont="1" applyProtection="1"/>
    <xf numFmtId="0" fontId="31" fillId="0" borderId="1" xfId="0" applyFont="1" applyBorder="1" applyProtection="1"/>
    <xf numFmtId="0" fontId="31" fillId="0" borderId="2" xfId="0" applyFont="1" applyBorder="1" applyProtection="1"/>
    <xf numFmtId="0" fontId="31" fillId="0" borderId="2" xfId="0" applyFont="1" applyFill="1" applyBorder="1" applyAlignment="1" applyProtection="1">
      <alignment horizontal="center"/>
    </xf>
    <xf numFmtId="0" fontId="31" fillId="0" borderId="3" xfId="0" applyFont="1" applyBorder="1" applyProtection="1"/>
    <xf numFmtId="0" fontId="31" fillId="2" borderId="56" xfId="0" applyFont="1" applyFill="1" applyBorder="1" applyProtection="1"/>
    <xf numFmtId="0" fontId="31" fillId="0" borderId="4" xfId="0" applyFont="1" applyBorder="1" applyProtection="1"/>
    <xf numFmtId="168" fontId="32" fillId="0" borderId="0" xfId="0" applyNumberFormat="1" applyFont="1" applyBorder="1" applyProtection="1"/>
    <xf numFmtId="0" fontId="31" fillId="0" borderId="0" xfId="0" applyFont="1" applyBorder="1" applyProtection="1"/>
    <xf numFmtId="0" fontId="31" fillId="0" borderId="5" xfId="0" applyFont="1" applyBorder="1" applyProtection="1"/>
    <xf numFmtId="0" fontId="2" fillId="0" borderId="0" xfId="0" applyFont="1" applyFill="1" applyProtection="1"/>
    <xf numFmtId="6" fontId="3" fillId="0" borderId="0" xfId="0" applyNumberFormat="1" applyFont="1" applyBorder="1" applyAlignment="1" applyProtection="1">
      <alignment horizontal="center"/>
    </xf>
    <xf numFmtId="0" fontId="2" fillId="8" borderId="34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</xf>
    <xf numFmtId="6" fontId="2" fillId="8" borderId="34" xfId="0" applyNumberFormat="1" applyFont="1" applyFill="1" applyBorder="1" applyAlignment="1" applyProtection="1">
      <alignment horizontal="center"/>
      <protection locked="0"/>
    </xf>
    <xf numFmtId="0" fontId="31" fillId="8" borderId="34" xfId="0" applyFont="1" applyFill="1" applyBorder="1" applyProtection="1">
      <protection locked="0"/>
    </xf>
    <xf numFmtId="0" fontId="24" fillId="2" borderId="57" xfId="0" applyFont="1" applyFill="1" applyBorder="1" applyAlignment="1" applyProtection="1">
      <alignment horizontal="center"/>
    </xf>
    <xf numFmtId="6" fontId="31" fillId="0" borderId="0" xfId="0" applyNumberFormat="1" applyFont="1" applyBorder="1" applyProtection="1"/>
    <xf numFmtId="0" fontId="3" fillId="2" borderId="57" xfId="0" applyFont="1" applyFill="1" applyBorder="1" applyAlignment="1" applyProtection="1">
      <alignment horizontal="center"/>
    </xf>
    <xf numFmtId="0" fontId="31" fillId="0" borderId="24" xfId="0" applyFont="1" applyBorder="1" applyProtection="1"/>
    <xf numFmtId="6" fontId="31" fillId="0" borderId="25" xfId="0" applyNumberFormat="1" applyFont="1" applyBorder="1" applyProtection="1"/>
    <xf numFmtId="0" fontId="31" fillId="0" borderId="25" xfId="0" applyFont="1" applyBorder="1" applyProtection="1"/>
    <xf numFmtId="0" fontId="31" fillId="0" borderId="26" xfId="0" applyFont="1" applyBorder="1" applyProtection="1"/>
    <xf numFmtId="0" fontId="2" fillId="2" borderId="58" xfId="0" applyFont="1" applyFill="1" applyBorder="1" applyProtection="1"/>
    <xf numFmtId="0" fontId="3" fillId="0" borderId="20" xfId="0" applyFont="1" applyBorder="1" applyAlignment="1" applyProtection="1"/>
    <xf numFmtId="0" fontId="3" fillId="0" borderId="55" xfId="0" applyFont="1" applyBorder="1" applyProtection="1"/>
    <xf numFmtId="0" fontId="7" fillId="0" borderId="0" xfId="0" applyFont="1" applyProtection="1"/>
    <xf numFmtId="0" fontId="2" fillId="2" borderId="0" xfId="0" applyFont="1" applyFill="1" applyBorder="1" applyProtection="1"/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0" fontId="2" fillId="2" borderId="59" xfId="0" applyFont="1" applyFill="1" applyBorder="1" applyProtection="1"/>
    <xf numFmtId="0" fontId="2" fillId="2" borderId="60" xfId="0" applyFont="1" applyFill="1" applyBorder="1" applyProtection="1"/>
    <xf numFmtId="0" fontId="3" fillId="2" borderId="60" xfId="0" applyFont="1" applyFill="1" applyBorder="1" applyProtection="1"/>
    <xf numFmtId="0" fontId="3" fillId="2" borderId="61" xfId="0" applyFont="1" applyFill="1" applyBorder="1" applyProtection="1"/>
    <xf numFmtId="0" fontId="2" fillId="0" borderId="0" xfId="0" applyFont="1" applyAlignment="1" applyProtection="1">
      <alignment vertical="top"/>
    </xf>
    <xf numFmtId="0" fontId="31" fillId="8" borderId="16" xfId="0" applyFont="1" applyFill="1" applyBorder="1" applyAlignment="1" applyProtection="1">
      <alignment horizontal="center" vertical="center"/>
    </xf>
    <xf numFmtId="0" fontId="31" fillId="8" borderId="17" xfId="0" applyFont="1" applyFill="1" applyBorder="1" applyAlignment="1" applyProtection="1">
      <alignment horizontal="center" vertical="center"/>
    </xf>
    <xf numFmtId="0" fontId="31" fillId="8" borderId="18" xfId="0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/>
    </xf>
    <xf numFmtId="6" fontId="24" fillId="2" borderId="57" xfId="0" applyNumberFormat="1" applyFont="1" applyFill="1" applyBorder="1" applyAlignment="1" applyProtection="1">
      <alignment horizontal="center" vertical="top"/>
    </xf>
    <xf numFmtId="10" fontId="2" fillId="2" borderId="34" xfId="0" applyNumberFormat="1" applyFont="1" applyFill="1" applyBorder="1" applyAlignment="1" applyProtection="1">
      <alignment horizontal="center" vertical="center"/>
      <protection locked="0"/>
    </xf>
  </cellXfs>
  <cellStyles count="4">
    <cellStyle name="Comma 2" xfId="1"/>
    <cellStyle name="Currency 2" xfId="2"/>
    <cellStyle name="Normal" xfId="0" builtinId="0"/>
    <cellStyle name="Normal 2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533363</xdr:colOff>
      <xdr:row>1</xdr:row>
      <xdr:rowOff>0</xdr:rowOff>
    </xdr:from>
    <xdr:to>
      <xdr:col>11</xdr:col>
      <xdr:colOff>1117132</xdr:colOff>
      <xdr:row>5</xdr:row>
      <xdr:rowOff>190500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7363" y="190500"/>
          <a:ext cx="2768169" cy="952500"/>
        </a:xfrm>
        <a:prstGeom prst="rect">
          <a:avLst/>
        </a:prstGeom>
        <a:extLst>
          <a:ext uri="{FAA26D3D-D897-4be2-8F04-BA451C77F1D7}">
            <ma14:placeholderFlag xmlns:ma14="http://schemas.microsoft.com/office/mac/drawingml/2011/main"/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6</xdr:col>
      <xdr:colOff>825500</xdr:colOff>
      <xdr:row>6</xdr:row>
      <xdr:rowOff>88900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90500"/>
          <a:ext cx="2476500" cy="1041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SAFE%20-%20LATE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ATOR"/>
      <sheetName val="ROUND A CAP TABLE"/>
      <sheetName val="HOLDER"/>
    </sheetNames>
    <sheetDataSet>
      <sheetData sheetId="0"/>
      <sheetData sheetId="1">
        <row r="22">
          <cell r="F22">
            <v>0.04</v>
          </cell>
        </row>
        <row r="54">
          <cell r="N5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0:S119"/>
  <sheetViews>
    <sheetView showGridLines="0" tabSelected="1" workbookViewId="0">
      <selection activeCell="C22" sqref="C22"/>
    </sheetView>
  </sheetViews>
  <sheetFormatPr baseColWidth="10" defaultRowHeight="18" x14ac:dyDescent="0"/>
  <cols>
    <col min="1" max="1" width="10.83203125" style="1"/>
    <col min="2" max="2" width="21.83203125" style="1" customWidth="1"/>
    <col min="3" max="3" width="22.1640625" style="1" customWidth="1"/>
    <col min="4" max="4" width="25.33203125" style="1" customWidth="1"/>
    <col min="5" max="5" width="8.83203125" style="1" customWidth="1"/>
    <col min="6" max="6" width="12" style="1" customWidth="1"/>
    <col min="7" max="7" width="20.6640625" style="1" customWidth="1"/>
    <col min="8" max="8" width="23.6640625" style="1" customWidth="1"/>
    <col min="9" max="9" width="18.1640625" style="1" customWidth="1"/>
    <col min="10" max="10" width="5" style="1" customWidth="1"/>
    <col min="11" max="11" width="13.33203125" style="1" bestFit="1" customWidth="1"/>
    <col min="12" max="12" width="16.33203125" style="1" customWidth="1"/>
    <col min="13" max="13" width="18" style="1" customWidth="1"/>
    <col min="14" max="14" width="12.33203125" style="1" customWidth="1"/>
    <col min="15" max="15" width="15.33203125" style="1" customWidth="1"/>
    <col min="16" max="16" width="13" style="2" customWidth="1"/>
    <col min="17" max="17" width="19.6640625" style="1" customWidth="1"/>
    <col min="18" max="18" width="12.33203125" style="1" customWidth="1"/>
    <col min="19" max="19" width="11.83203125" style="1" customWidth="1"/>
    <col min="20" max="22" width="10.83203125" style="1"/>
    <col min="23" max="23" width="18.33203125" style="1" bestFit="1" customWidth="1"/>
    <col min="24" max="24" width="11.6640625" style="1" customWidth="1"/>
    <col min="25" max="16384" width="10.83203125" style="1"/>
  </cols>
  <sheetData>
    <row r="10" spans="1:17" ht="30">
      <c r="A10" s="352"/>
      <c r="B10" s="352"/>
      <c r="G10" s="16"/>
      <c r="H10" s="357" t="s">
        <v>152</v>
      </c>
    </row>
    <row r="11" spans="1:17" ht="30">
      <c r="A11" s="352"/>
      <c r="B11" s="352"/>
      <c r="H11" s="356" t="s">
        <v>151</v>
      </c>
      <c r="O11" s="355" t="s">
        <v>150</v>
      </c>
      <c r="P11" s="354"/>
      <c r="Q11" s="353"/>
    </row>
    <row r="12" spans="1:17" ht="23">
      <c r="A12" s="352"/>
      <c r="B12" s="352"/>
      <c r="H12" s="205"/>
    </row>
    <row r="13" spans="1:17" ht="23">
      <c r="A13" s="352"/>
      <c r="B13" s="352"/>
      <c r="H13" s="205"/>
    </row>
    <row r="14" spans="1:17" ht="23">
      <c r="B14" s="352"/>
      <c r="G14" s="16"/>
      <c r="H14" s="16"/>
      <c r="Q14" s="229" t="s">
        <v>149</v>
      </c>
    </row>
    <row r="15" spans="1:17" ht="19" thickBot="1">
      <c r="B15" s="351"/>
      <c r="C15" s="350" t="s">
        <v>148</v>
      </c>
      <c r="D15" s="349"/>
      <c r="E15" s="349"/>
      <c r="F15" s="349"/>
      <c r="G15" s="349"/>
      <c r="H15" s="348"/>
      <c r="J15" s="344" t="s">
        <v>83</v>
      </c>
      <c r="O15" s="2"/>
      <c r="P15" s="1"/>
    </row>
    <row r="16" spans="1:17">
      <c r="B16" s="219"/>
      <c r="C16" s="347"/>
      <c r="D16" s="4" t="s">
        <v>147</v>
      </c>
      <c r="E16" s="345"/>
      <c r="F16" s="345"/>
      <c r="G16" s="345"/>
      <c r="H16" s="345"/>
      <c r="J16" s="344"/>
      <c r="O16" s="2"/>
      <c r="P16" s="1"/>
    </row>
    <row r="17" spans="2:16" ht="9" customHeight="1" thickBot="1">
      <c r="C17" s="347"/>
      <c r="D17" s="346"/>
      <c r="E17" s="345"/>
      <c r="F17" s="345"/>
      <c r="G17" s="345"/>
      <c r="H17" s="345"/>
      <c r="J17" s="344"/>
      <c r="O17" s="2"/>
      <c r="P17" s="1"/>
    </row>
    <row r="18" spans="2:16" ht="26" customHeight="1">
      <c r="B18" s="343"/>
      <c r="C18" s="115"/>
      <c r="D18" s="342" t="s">
        <v>146</v>
      </c>
      <c r="E18" s="277"/>
      <c r="F18" s="115"/>
      <c r="G18" s="277"/>
      <c r="H18" s="341"/>
      <c r="J18" s="340"/>
      <c r="K18" s="339" t="s">
        <v>145</v>
      </c>
      <c r="L18" s="339"/>
      <c r="M18" s="338">
        <f>C21</f>
        <v>10000000</v>
      </c>
      <c r="N18" s="337"/>
      <c r="O18" s="318"/>
      <c r="P18" s="1"/>
    </row>
    <row r="19" spans="2:16">
      <c r="B19" s="254"/>
      <c r="C19" s="94"/>
      <c r="D19" s="35"/>
      <c r="E19" s="35"/>
      <c r="F19" s="94"/>
      <c r="G19" s="35"/>
      <c r="H19" s="336" t="s">
        <v>144</v>
      </c>
      <c r="J19" s="327"/>
      <c r="K19" s="326" t="s">
        <v>143</v>
      </c>
      <c r="L19" s="326"/>
      <c r="M19" s="335">
        <f>M18/12</f>
        <v>833333.33333333337</v>
      </c>
      <c r="N19" s="324"/>
      <c r="O19" s="318"/>
      <c r="P19" s="1"/>
    </row>
    <row r="20" spans="2:16">
      <c r="B20" s="254"/>
      <c r="C20" s="40" t="s">
        <v>142</v>
      </c>
      <c r="D20" s="40"/>
      <c r="E20" s="40" t="s">
        <v>54</v>
      </c>
      <c r="F20" s="40"/>
      <c r="G20" s="40" t="s">
        <v>58</v>
      </c>
      <c r="H20" s="334" t="s">
        <v>141</v>
      </c>
      <c r="J20" s="327"/>
      <c r="K20" s="326" t="s">
        <v>140</v>
      </c>
      <c r="L20" s="326"/>
      <c r="M20" s="333">
        <v>2.5000000000000001E-2</v>
      </c>
      <c r="N20" s="324"/>
      <c r="O20" s="318"/>
      <c r="P20" s="1"/>
    </row>
    <row r="21" spans="2:16" ht="20">
      <c r="B21" s="265" t="s">
        <v>139</v>
      </c>
      <c r="C21" s="332">
        <v>10000000</v>
      </c>
      <c r="D21" s="331"/>
      <c r="E21" s="330">
        <v>5</v>
      </c>
      <c r="F21" s="94"/>
      <c r="G21" s="329">
        <f>E21*C21</f>
        <v>50000000</v>
      </c>
      <c r="H21" s="358" t="s">
        <v>138</v>
      </c>
      <c r="I21" s="328"/>
      <c r="J21" s="327"/>
      <c r="K21" s="326" t="s">
        <v>137</v>
      </c>
      <c r="L21" s="326"/>
      <c r="M21" s="325">
        <f>M19/M20</f>
        <v>33333333.333333332</v>
      </c>
      <c r="N21" s="324"/>
      <c r="O21" s="318"/>
      <c r="P21" s="1"/>
    </row>
    <row r="22" spans="2:16" ht="9" customHeight="1" thickBot="1">
      <c r="B22" s="251"/>
      <c r="C22" s="118"/>
      <c r="D22" s="118"/>
      <c r="E22" s="118"/>
      <c r="F22" s="118"/>
      <c r="G22" s="118"/>
      <c r="H22" s="323"/>
      <c r="J22" s="322"/>
      <c r="K22" s="321"/>
      <c r="L22" s="320"/>
      <c r="M22" s="320"/>
      <c r="N22" s="319"/>
      <c r="O22" s="318"/>
      <c r="P22" s="1"/>
    </row>
    <row r="23" spans="2:16" ht="33" customHeight="1" thickBot="1"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317"/>
    </row>
    <row r="24" spans="2:16" ht="17" customHeight="1">
      <c r="B24" s="316"/>
      <c r="C24" s="115"/>
      <c r="D24" s="115"/>
      <c r="E24" s="115"/>
      <c r="F24" s="115"/>
      <c r="G24" s="115"/>
      <c r="H24" s="115"/>
      <c r="I24" s="115"/>
      <c r="J24" s="115"/>
      <c r="K24" s="315"/>
      <c r="P24" s="222"/>
    </row>
    <row r="25" spans="2:16" ht="20" customHeight="1">
      <c r="B25" s="254"/>
      <c r="C25" s="314" t="s">
        <v>136</v>
      </c>
      <c r="D25" s="94"/>
      <c r="E25" s="313"/>
      <c r="F25" s="43"/>
      <c r="G25" s="43"/>
      <c r="H25" s="43"/>
      <c r="I25" s="43"/>
      <c r="J25" s="312"/>
      <c r="K25" s="291"/>
      <c r="P25" s="230"/>
    </row>
    <row r="26" spans="2:16" ht="20" customHeight="1">
      <c r="B26" s="254"/>
      <c r="C26" s="310" t="s">
        <v>135</v>
      </c>
      <c r="D26" s="94"/>
      <c r="E26" s="308"/>
      <c r="F26" s="94"/>
      <c r="G26" s="68" t="s">
        <v>134</v>
      </c>
      <c r="H26" s="94"/>
      <c r="I26" s="311">
        <v>1</v>
      </c>
      <c r="J26" s="295"/>
      <c r="K26" s="291"/>
      <c r="L26" s="306" t="s">
        <v>133</v>
      </c>
      <c r="M26" s="305"/>
      <c r="N26" s="305"/>
      <c r="O26" s="304"/>
      <c r="P26" s="230"/>
    </row>
    <row r="27" spans="2:16" ht="20" customHeight="1">
      <c r="B27" s="254"/>
      <c r="C27" s="310"/>
      <c r="D27" s="94"/>
      <c r="E27" s="308"/>
      <c r="F27" s="94"/>
      <c r="G27" s="297" t="s">
        <v>132</v>
      </c>
      <c r="H27" s="267"/>
      <c r="I27" s="309">
        <v>0.2</v>
      </c>
      <c r="J27" s="295"/>
      <c r="K27" s="291"/>
      <c r="L27" s="306" t="s">
        <v>131</v>
      </c>
      <c r="M27" s="305"/>
      <c r="N27" s="305"/>
      <c r="O27" s="304"/>
      <c r="P27" s="230" t="s">
        <v>112</v>
      </c>
    </row>
    <row r="28" spans="2:16" ht="20">
      <c r="B28" s="301" t="s">
        <v>130</v>
      </c>
      <c r="C28" s="359">
        <v>6.5000000000000002E-2</v>
      </c>
      <c r="D28" s="299"/>
      <c r="E28" s="308"/>
      <c r="F28" s="94"/>
      <c r="G28" s="297" t="s">
        <v>129</v>
      </c>
      <c r="H28" s="269" t="s">
        <v>128</v>
      </c>
      <c r="I28" s="307">
        <v>100000</v>
      </c>
      <c r="J28" s="266"/>
      <c r="K28" s="291"/>
      <c r="L28" s="306" t="s">
        <v>127</v>
      </c>
      <c r="M28" s="305"/>
      <c r="N28" s="305"/>
      <c r="O28" s="304"/>
      <c r="P28" s="230" t="s">
        <v>126</v>
      </c>
    </row>
    <row r="29" spans="2:16">
      <c r="B29" s="303"/>
      <c r="D29" s="299"/>
      <c r="E29" s="298"/>
      <c r="F29" s="94"/>
      <c r="G29" s="302" t="s">
        <v>125</v>
      </c>
      <c r="H29" s="269"/>
      <c r="I29" s="296">
        <f>G21</f>
        <v>50000000</v>
      </c>
      <c r="J29" s="295"/>
      <c r="K29" s="291"/>
      <c r="P29" s="230" t="s">
        <v>124</v>
      </c>
    </row>
    <row r="30" spans="2:16">
      <c r="B30" s="301" t="s">
        <v>123</v>
      </c>
      <c r="C30" s="300">
        <v>0</v>
      </c>
      <c r="D30" s="299"/>
      <c r="E30" s="298"/>
      <c r="F30" s="94"/>
      <c r="G30" s="297" t="s">
        <v>122</v>
      </c>
      <c r="H30" s="297"/>
      <c r="I30" s="296">
        <f>G21</f>
        <v>50000000</v>
      </c>
      <c r="J30" s="295"/>
      <c r="K30" s="291"/>
      <c r="P30" s="230" t="s">
        <v>84</v>
      </c>
    </row>
    <row r="31" spans="2:16" ht="9" customHeight="1">
      <c r="B31" s="254"/>
      <c r="C31" s="94"/>
      <c r="D31" s="94"/>
      <c r="E31" s="294"/>
      <c r="F31" s="293"/>
      <c r="G31" s="293"/>
      <c r="H31" s="293"/>
      <c r="I31" s="293"/>
      <c r="J31" s="292"/>
      <c r="K31" s="291"/>
      <c r="P31" s="230"/>
    </row>
    <row r="32" spans="2:16" ht="19" thickBot="1">
      <c r="B32" s="251"/>
      <c r="C32" s="118"/>
      <c r="D32" s="118"/>
      <c r="E32" s="118"/>
      <c r="F32" s="118"/>
      <c r="G32" s="118"/>
      <c r="H32" s="118"/>
      <c r="I32" s="290"/>
      <c r="J32" s="118"/>
      <c r="K32" s="289"/>
      <c r="P32" s="230"/>
    </row>
    <row r="33" spans="2:16">
      <c r="B33" s="227"/>
      <c r="C33" s="226"/>
      <c r="D33" s="226"/>
      <c r="E33" s="226"/>
      <c r="F33" s="226"/>
      <c r="G33" s="226"/>
      <c r="H33" s="226"/>
      <c r="I33" s="288"/>
      <c r="J33" s="226"/>
      <c r="K33" s="226"/>
      <c r="L33" s="287"/>
      <c r="M33" s="287"/>
      <c r="N33" s="287"/>
      <c r="O33" s="286"/>
      <c r="P33" s="230"/>
    </row>
    <row r="34" spans="2:16">
      <c r="B34" s="234" t="s">
        <v>121</v>
      </c>
      <c r="C34" s="226"/>
      <c r="D34" s="226"/>
      <c r="E34" s="226"/>
      <c r="F34" s="226"/>
      <c r="G34" s="280"/>
      <c r="H34" s="280"/>
      <c r="I34" s="285"/>
      <c r="J34" s="226"/>
      <c r="K34" s="226"/>
      <c r="L34" s="226"/>
      <c r="M34" s="226"/>
      <c r="N34" s="226"/>
      <c r="O34" s="226"/>
      <c r="P34" s="230" t="s">
        <v>120</v>
      </c>
    </row>
    <row r="35" spans="2:16">
      <c r="B35" s="232" t="s">
        <v>34</v>
      </c>
      <c r="C35" s="226"/>
      <c r="D35" s="226"/>
      <c r="E35" s="226"/>
      <c r="F35" s="226"/>
      <c r="G35" s="242" t="s">
        <v>119</v>
      </c>
      <c r="H35" s="242"/>
      <c r="I35" s="233" t="s">
        <v>92</v>
      </c>
      <c r="J35" s="226"/>
      <c r="K35" s="242" t="s">
        <v>91</v>
      </c>
      <c r="L35" s="226"/>
      <c r="M35" s="284">
        <f>I29/D40</f>
        <v>2</v>
      </c>
      <c r="N35" s="226" t="s">
        <v>88</v>
      </c>
      <c r="O35" s="226"/>
      <c r="P35" s="230" t="s">
        <v>118</v>
      </c>
    </row>
    <row r="36" spans="2:16">
      <c r="B36" s="232" t="s">
        <v>83</v>
      </c>
      <c r="C36" s="241" t="s">
        <v>117</v>
      </c>
      <c r="D36" s="283">
        <f>IF(I29&gt;D40,I29/D40,0)</f>
        <v>2</v>
      </c>
      <c r="E36" s="226"/>
      <c r="F36" s="226"/>
      <c r="G36" s="239">
        <f>IF(I29&gt;D40,I28)</f>
        <v>100000</v>
      </c>
      <c r="H36" s="238" t="s">
        <v>88</v>
      </c>
      <c r="I36" s="237">
        <f>IF(I29&gt;D40,D36)</f>
        <v>2</v>
      </c>
      <c r="J36" s="233" t="s">
        <v>87</v>
      </c>
      <c r="K36" s="236">
        <f>I28*I36</f>
        <v>200000</v>
      </c>
      <c r="L36" s="233" t="s">
        <v>87</v>
      </c>
      <c r="M36" s="282">
        <f>I28</f>
        <v>100000</v>
      </c>
      <c r="N36" s="243" t="str">
        <f>"  /  " &amp; I29</f>
        <v xml:space="preserve">  /  50000000</v>
      </c>
      <c r="O36" s="226"/>
      <c r="P36" s="230" t="s">
        <v>82</v>
      </c>
    </row>
    <row r="37" spans="2:16">
      <c r="B37" s="227"/>
      <c r="C37" s="226"/>
      <c r="D37" s="243">
        <f>IF(I29&gt;D40,I29-D40,0)</f>
        <v>25000000</v>
      </c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30" t="s">
        <v>116</v>
      </c>
    </row>
    <row r="38" spans="2:16">
      <c r="B38" s="281" t="s">
        <v>115</v>
      </c>
      <c r="C38" s="280" t="s">
        <v>114</v>
      </c>
      <c r="D38" s="243"/>
      <c r="E38" s="226"/>
      <c r="F38" s="226"/>
      <c r="G38" s="226"/>
      <c r="H38" s="226"/>
      <c r="I38" s="226"/>
      <c r="J38" s="226"/>
      <c r="K38" s="226"/>
      <c r="L38" s="226"/>
      <c r="M38" s="242" t="s">
        <v>113</v>
      </c>
      <c r="N38" s="226"/>
      <c r="O38" s="226"/>
      <c r="P38" s="230" t="s">
        <v>112</v>
      </c>
    </row>
    <row r="39" spans="2:16">
      <c r="B39" s="227"/>
      <c r="C39" s="226"/>
      <c r="D39" s="226"/>
      <c r="E39" s="244"/>
      <c r="F39" s="244"/>
      <c r="G39" s="244"/>
      <c r="H39" s="244"/>
      <c r="I39" s="244"/>
      <c r="J39" s="244"/>
      <c r="K39" s="244"/>
      <c r="L39" s="244"/>
      <c r="M39" s="228">
        <f>IF(I29&gt;D40, K36/I29,0)</f>
        <v>4.0000000000000001E-3</v>
      </c>
      <c r="N39" s="244"/>
      <c r="O39" s="245"/>
      <c r="P39" s="230"/>
    </row>
    <row r="40" spans="2:16" ht="19" thickBot="1">
      <c r="B40" s="224"/>
      <c r="C40" s="247" t="s">
        <v>111</v>
      </c>
      <c r="D40" s="279">
        <v>25000000</v>
      </c>
      <c r="E40" s="227"/>
      <c r="F40" s="244"/>
      <c r="G40" s="244"/>
      <c r="H40" s="244"/>
      <c r="I40" s="244"/>
      <c r="J40" s="244"/>
      <c r="K40" s="244"/>
      <c r="L40" s="244"/>
      <c r="M40" s="244"/>
      <c r="N40" s="244"/>
      <c r="O40" s="245"/>
      <c r="P40" s="230"/>
    </row>
    <row r="41" spans="2:16">
      <c r="B41" s="254"/>
      <c r="C41" s="278" t="s">
        <v>110</v>
      </c>
      <c r="D41" s="277"/>
      <c r="E41" s="276"/>
      <c r="F41" s="275"/>
      <c r="G41" s="274"/>
      <c r="H41" s="274"/>
      <c r="I41" s="274"/>
      <c r="J41" s="274"/>
      <c r="K41" s="274"/>
      <c r="L41" s="274"/>
      <c r="M41" s="274"/>
      <c r="N41" s="274"/>
      <c r="O41" s="273"/>
      <c r="P41" s="230"/>
    </row>
    <row r="42" spans="2:16" hidden="1">
      <c r="B42" s="254"/>
      <c r="D42" s="4" t="s">
        <v>97</v>
      </c>
      <c r="E42" s="35"/>
      <c r="F42" s="35"/>
      <c r="K42" s="272"/>
      <c r="L42" s="81"/>
      <c r="P42" s="230"/>
    </row>
    <row r="43" spans="2:16" hidden="1">
      <c r="B43" s="254"/>
      <c r="D43" s="4" t="s">
        <v>98</v>
      </c>
      <c r="E43" s="35"/>
      <c r="F43" s="35"/>
      <c r="G43" s="4" t="s">
        <v>57</v>
      </c>
      <c r="I43" s="4" t="s">
        <v>109</v>
      </c>
      <c r="K43" s="271" t="s">
        <v>108</v>
      </c>
      <c r="P43" s="230"/>
    </row>
    <row r="44" spans="2:16" hidden="1">
      <c r="B44" s="270" t="s">
        <v>107</v>
      </c>
      <c r="C44" s="4" t="s">
        <v>106</v>
      </c>
      <c r="D44" s="4" t="s">
        <v>97</v>
      </c>
      <c r="E44" s="4"/>
      <c r="F44" s="4"/>
      <c r="G44" s="269" t="s">
        <v>105</v>
      </c>
      <c r="H44" s="40"/>
      <c r="I44" s="268" t="s">
        <v>104</v>
      </c>
      <c r="J44" s="94"/>
      <c r="K44" s="267" t="s">
        <v>103</v>
      </c>
      <c r="L44" s="94"/>
      <c r="M44" s="266" t="s">
        <v>81</v>
      </c>
      <c r="N44" s="40"/>
      <c r="P44" s="230"/>
    </row>
    <row r="45" spans="2:16" hidden="1">
      <c r="B45" s="265" t="s">
        <v>83</v>
      </c>
      <c r="C45" s="264">
        <f>I29</f>
        <v>50000000</v>
      </c>
      <c r="D45" s="263" t="s">
        <v>102</v>
      </c>
      <c r="E45" s="263" t="s">
        <v>101</v>
      </c>
      <c r="F45" s="262"/>
      <c r="G45" s="261">
        <f>I28</f>
        <v>100000</v>
      </c>
      <c r="H45" s="260" t="s">
        <v>100</v>
      </c>
      <c r="I45" s="259">
        <f>I29*(1-I27)</f>
        <v>40000000</v>
      </c>
      <c r="J45" s="35" t="s">
        <v>99</v>
      </c>
      <c r="K45" s="258">
        <f>G45</f>
        <v>100000</v>
      </c>
      <c r="L45" s="35" t="s">
        <v>87</v>
      </c>
      <c r="M45" s="228">
        <f>IF(I29&gt;=D49,K45/I45,0)</f>
        <v>2.5000000000000001E-3</v>
      </c>
      <c r="N45" s="257">
        <f>I29*M45</f>
        <v>125000</v>
      </c>
      <c r="O45" s="256"/>
      <c r="P45" s="230"/>
    </row>
    <row r="46" spans="2:16" hidden="1">
      <c r="B46" s="254"/>
      <c r="D46" s="4" t="s">
        <v>97</v>
      </c>
      <c r="E46" s="4"/>
      <c r="F46" s="4"/>
      <c r="J46" s="94"/>
      <c r="K46" s="94"/>
      <c r="L46" s="94"/>
      <c r="M46" s="94"/>
      <c r="N46" s="39" t="s">
        <v>91</v>
      </c>
      <c r="O46" s="255"/>
      <c r="P46" s="230"/>
    </row>
    <row r="47" spans="2:16" hidden="1">
      <c r="B47" s="254"/>
      <c r="D47" s="4" t="s">
        <v>98</v>
      </c>
      <c r="E47" s="253"/>
      <c r="F47" s="253"/>
      <c r="G47" s="7"/>
      <c r="H47" s="7"/>
      <c r="I47" s="7"/>
      <c r="J47" s="7"/>
      <c r="K47" s="7"/>
      <c r="L47" s="7"/>
      <c r="M47" s="7"/>
      <c r="N47" s="7"/>
      <c r="O47" s="252"/>
      <c r="P47" s="230"/>
    </row>
    <row r="48" spans="2:16" ht="19" hidden="1" thickBot="1">
      <c r="B48" s="251"/>
      <c r="C48" s="118">
        <f>D49/D49</f>
        <v>1</v>
      </c>
      <c r="D48" s="250" t="s">
        <v>97</v>
      </c>
      <c r="E48" s="249"/>
      <c r="F48" s="248"/>
      <c r="G48" s="244"/>
      <c r="H48" s="244"/>
      <c r="I48" s="244"/>
      <c r="J48" s="244"/>
      <c r="K48" s="244"/>
      <c r="L48" s="244"/>
      <c r="M48" s="244"/>
      <c r="N48" s="244"/>
      <c r="O48" s="245"/>
      <c r="P48" s="230"/>
    </row>
    <row r="49" spans="2:17" hidden="1">
      <c r="B49" s="227"/>
      <c r="C49" s="247" t="s">
        <v>96</v>
      </c>
      <c r="D49" s="246">
        <v>10000000</v>
      </c>
      <c r="E49" s="227"/>
      <c r="F49" s="244"/>
      <c r="G49" s="244"/>
      <c r="H49" s="244"/>
      <c r="I49" s="244"/>
      <c r="J49" s="244"/>
      <c r="K49" s="244"/>
      <c r="L49" s="244"/>
      <c r="M49" s="244"/>
      <c r="N49" s="244"/>
      <c r="O49" s="245"/>
      <c r="P49" s="230" t="s">
        <v>84</v>
      </c>
    </row>
    <row r="50" spans="2:17" hidden="1">
      <c r="B50" s="227"/>
      <c r="C50" s="226"/>
      <c r="D50" s="226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226"/>
      <c r="P50" s="230" t="s">
        <v>88</v>
      </c>
    </row>
    <row r="51" spans="2:17" hidden="1">
      <c r="B51" s="234"/>
      <c r="C51" s="226"/>
      <c r="D51" s="226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5"/>
      <c r="P51" s="230" t="s">
        <v>95</v>
      </c>
    </row>
    <row r="52" spans="2:17" hidden="1">
      <c r="B52" s="227"/>
      <c r="C52" s="226"/>
      <c r="D52" s="226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30" t="s">
        <v>80</v>
      </c>
    </row>
    <row r="53" spans="2:17" hidden="1">
      <c r="B53" s="227"/>
      <c r="C53" s="226" t="s">
        <v>94</v>
      </c>
      <c r="D53" s="243">
        <f>IF(D49-I29&gt;0,D49-I29,0)</f>
        <v>0</v>
      </c>
      <c r="E53" s="226"/>
      <c r="F53" s="226"/>
      <c r="G53" s="242" t="s">
        <v>93</v>
      </c>
      <c r="H53" s="242"/>
      <c r="I53" s="233" t="s">
        <v>92</v>
      </c>
      <c r="J53" s="226"/>
      <c r="K53" s="242" t="s">
        <v>91</v>
      </c>
      <c r="L53" s="226"/>
      <c r="M53" s="231" t="s">
        <v>90</v>
      </c>
      <c r="N53" s="226"/>
      <c r="O53" s="226"/>
      <c r="P53" s="230"/>
    </row>
    <row r="54" spans="2:17" hidden="1">
      <c r="B54" s="227"/>
      <c r="C54" s="241" t="s">
        <v>89</v>
      </c>
      <c r="D54" s="240">
        <f>D53/D49</f>
        <v>0</v>
      </c>
      <c r="E54" s="226"/>
      <c r="F54" s="226"/>
      <c r="G54" s="239" t="b">
        <f>IF(D53&gt;0,I28)</f>
        <v>0</v>
      </c>
      <c r="H54" s="238" t="s">
        <v>88</v>
      </c>
      <c r="I54" s="237" t="b">
        <f>IF(G54,1.2)</f>
        <v>0</v>
      </c>
      <c r="J54" s="233" t="s">
        <v>87</v>
      </c>
      <c r="K54" s="236" t="b">
        <f>IF(I54,I28*I54)</f>
        <v>0</v>
      </c>
      <c r="L54" s="233" t="s">
        <v>87</v>
      </c>
      <c r="M54" s="235">
        <f>K54/I29</f>
        <v>0</v>
      </c>
      <c r="N54" s="226"/>
      <c r="O54" s="226"/>
      <c r="P54" s="230" t="s">
        <v>84</v>
      </c>
    </row>
    <row r="55" spans="2:17" hidden="1">
      <c r="B55" s="227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33"/>
      <c r="N55" s="226"/>
      <c r="O55" s="226"/>
      <c r="P55" s="230" t="s">
        <v>86</v>
      </c>
    </row>
    <row r="56" spans="2:17" hidden="1">
      <c r="B56" s="234" t="s">
        <v>85</v>
      </c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33"/>
      <c r="N56" s="226"/>
      <c r="O56" s="226"/>
      <c r="P56" s="230" t="s">
        <v>84</v>
      </c>
    </row>
    <row r="57" spans="2:17" hidden="1">
      <c r="B57" s="232" t="s">
        <v>83</v>
      </c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30" t="s">
        <v>82</v>
      </c>
    </row>
    <row r="58" spans="2:17" hidden="1">
      <c r="B58" s="227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31" t="s">
        <v>81</v>
      </c>
      <c r="N58" s="226"/>
      <c r="O58" s="226"/>
      <c r="P58" s="230" t="s">
        <v>80</v>
      </c>
      <c r="Q58" s="229" t="s">
        <v>79</v>
      </c>
    </row>
    <row r="59" spans="2:17" hidden="1">
      <c r="B59" s="227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8">
        <f>IF(G54,M54,0)</f>
        <v>0</v>
      </c>
      <c r="N59" s="226"/>
      <c r="O59" s="226"/>
      <c r="P59" s="222"/>
      <c r="Q59" s="221" t="s">
        <v>78</v>
      </c>
    </row>
    <row r="60" spans="2:17" hidden="1">
      <c r="B60" s="227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2"/>
      <c r="Q60" s="215">
        <f>O64*I29</f>
        <v>200000</v>
      </c>
    </row>
    <row r="61" spans="2:17" hidden="1">
      <c r="B61" s="227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2"/>
      <c r="Q61" s="225" t="str">
        <f>(Q60/I28) &amp; "X"</f>
        <v>2X</v>
      </c>
    </row>
    <row r="62" spans="2:17" ht="19" hidden="1" thickBot="1">
      <c r="B62" s="224"/>
      <c r="C62" s="223"/>
      <c r="D62" s="223"/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2"/>
    </row>
    <row r="63" spans="2:17" hidden="1">
      <c r="B63" s="220"/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6"/>
      <c r="Q63" s="221" t="s">
        <v>77</v>
      </c>
    </row>
    <row r="64" spans="2:17" hidden="1">
      <c r="B64" s="220"/>
      <c r="C64" s="219"/>
      <c r="D64" s="219"/>
      <c r="E64" s="219"/>
      <c r="F64" s="219"/>
      <c r="G64" s="219"/>
      <c r="H64" s="219"/>
      <c r="I64" s="219"/>
      <c r="J64" s="219"/>
      <c r="K64" s="219"/>
      <c r="L64" s="219"/>
      <c r="M64" s="219"/>
      <c r="N64" s="218" t="s">
        <v>76</v>
      </c>
      <c r="O64" s="217">
        <f>IF(M39&gt;M45,M39,IF(M59&gt;M45,M59,M45))</f>
        <v>4.0000000000000001E-3</v>
      </c>
      <c r="P64" s="216"/>
      <c r="Q64" s="215">
        <f>O64*I30</f>
        <v>200000</v>
      </c>
    </row>
    <row r="65" spans="2:18" ht="19" thickBot="1">
      <c r="B65" s="214"/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2"/>
    </row>
    <row r="66" spans="2:18">
      <c r="B66" s="211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210"/>
    </row>
    <row r="67" spans="2:18" ht="23">
      <c r="E67" s="205" t="s">
        <v>75</v>
      </c>
      <c r="M67" s="2"/>
      <c r="N67" s="209" t="s">
        <v>74</v>
      </c>
      <c r="O67" s="208">
        <f>O64</f>
        <v>4.0000000000000001E-3</v>
      </c>
      <c r="Q67" s="207">
        <f>Q64</f>
        <v>200000</v>
      </c>
      <c r="R67" s="206"/>
    </row>
    <row r="68" spans="2:18" ht="24" thickBot="1">
      <c r="B68" s="2"/>
      <c r="E68" s="205" t="s">
        <v>73</v>
      </c>
      <c r="I68" s="204"/>
      <c r="M68" s="203" t="s">
        <v>72</v>
      </c>
      <c r="Q68" s="202" t="str">
        <f>ROUND(Q67/I28,2) &amp; " X"</f>
        <v>2 X</v>
      </c>
    </row>
    <row r="69" spans="2:18" ht="38" customHeight="1" thickTop="1" thickBot="1">
      <c r="B69" s="201" t="s">
        <v>71</v>
      </c>
      <c r="C69" s="200"/>
      <c r="D69" s="55"/>
      <c r="E69" s="199" t="s">
        <v>70</v>
      </c>
      <c r="F69" s="53"/>
      <c r="G69" s="53"/>
      <c r="H69" s="53"/>
      <c r="I69" s="53"/>
      <c r="J69" s="198"/>
      <c r="K69" s="198"/>
      <c r="L69" s="198"/>
      <c r="M69" s="53"/>
      <c r="N69" s="53"/>
      <c r="O69" s="53"/>
      <c r="P69" s="53"/>
      <c r="Q69" s="53"/>
    </row>
    <row r="70" spans="2:18" ht="19" thickTop="1">
      <c r="B70" s="197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5"/>
    </row>
    <row r="71" spans="2:18">
      <c r="B71" s="69"/>
      <c r="C71" s="40" t="s">
        <v>69</v>
      </c>
      <c r="D71" s="94"/>
      <c r="E71" s="94"/>
      <c r="F71" s="94"/>
      <c r="G71" s="94"/>
      <c r="H71" s="94"/>
      <c r="I71" s="108"/>
      <c r="J71" s="108"/>
      <c r="K71" s="108"/>
      <c r="L71" s="94"/>
      <c r="M71" s="94"/>
      <c r="N71" s="94"/>
      <c r="O71" s="94"/>
      <c r="P71" s="94"/>
      <c r="Q71" s="98"/>
    </row>
    <row r="72" spans="2:18">
      <c r="B72" s="147"/>
      <c r="C72" s="194" t="s">
        <v>68</v>
      </c>
      <c r="D72" s="94"/>
      <c r="E72" s="94"/>
      <c r="F72" s="94"/>
      <c r="G72" s="94"/>
      <c r="H72" s="94"/>
      <c r="I72" s="108"/>
      <c r="J72" s="177"/>
      <c r="K72" s="177"/>
      <c r="L72" s="184"/>
      <c r="M72" s="184" t="s">
        <v>34</v>
      </c>
      <c r="N72" s="174"/>
      <c r="O72" s="94"/>
      <c r="P72" s="94"/>
      <c r="Q72" s="98"/>
    </row>
    <row r="73" spans="2:18" ht="7" customHeight="1">
      <c r="B73" s="69"/>
      <c r="D73" s="94"/>
      <c r="E73" s="94"/>
      <c r="F73" s="193"/>
      <c r="G73" s="94"/>
      <c r="H73" s="94"/>
      <c r="I73" s="192"/>
      <c r="J73" s="191"/>
      <c r="K73" s="177"/>
      <c r="L73" s="190" t="s">
        <v>67</v>
      </c>
      <c r="M73" s="189">
        <f>I29</f>
        <v>50000000</v>
      </c>
      <c r="N73" s="188"/>
      <c r="O73" s="94"/>
      <c r="P73" s="94"/>
      <c r="Q73" s="98"/>
    </row>
    <row r="74" spans="2:18">
      <c r="B74" s="182"/>
      <c r="C74" s="187" t="str">
        <f>TEXT(C76/D49,"###.0%") &amp;" of "&amp;TEXT(D49,"$#,#,#.00") &amp; " FLOOR"</f>
        <v>20.0% of $10,000,000.00 FLOOR</v>
      </c>
      <c r="D74" s="94"/>
      <c r="E74" s="94"/>
      <c r="F74" s="94"/>
      <c r="G74" s="94"/>
      <c r="H74" s="94"/>
      <c r="I74" s="108"/>
      <c r="J74" s="177"/>
      <c r="K74" s="177"/>
      <c r="L74" s="184" t="s">
        <v>66</v>
      </c>
      <c r="M74" s="183">
        <f>I30</f>
        <v>50000000</v>
      </c>
      <c r="N74" s="174"/>
      <c r="O74" s="94"/>
      <c r="P74" s="94"/>
      <c r="Q74" s="98"/>
    </row>
    <row r="75" spans="2:18" ht="8" customHeight="1">
      <c r="B75" s="182"/>
      <c r="C75" s="187"/>
      <c r="D75" s="94"/>
      <c r="E75" s="94"/>
      <c r="F75" s="94"/>
      <c r="G75" s="94"/>
      <c r="H75" s="94"/>
      <c r="I75" s="108"/>
      <c r="J75" s="177"/>
      <c r="K75" s="177"/>
      <c r="L75" s="184"/>
      <c r="M75" s="183"/>
      <c r="N75" s="174"/>
      <c r="O75" s="94"/>
      <c r="P75" s="94"/>
      <c r="Q75" s="98"/>
    </row>
    <row r="76" spans="2:18">
      <c r="B76" s="69"/>
      <c r="C76" s="186">
        <v>2000000</v>
      </c>
      <c r="D76" s="94"/>
      <c r="E76" s="180"/>
      <c r="F76" s="94"/>
      <c r="G76" s="35"/>
      <c r="H76" s="35"/>
      <c r="I76" s="185"/>
      <c r="J76" s="178"/>
      <c r="K76" s="177"/>
      <c r="L76" s="184" t="s">
        <v>65</v>
      </c>
      <c r="M76" s="183" t="e">
        <f>M73+C76+#REF!</f>
        <v>#REF!</v>
      </c>
      <c r="N76" s="174"/>
      <c r="O76" s="94"/>
      <c r="P76" s="94"/>
      <c r="Q76" s="98"/>
    </row>
    <row r="77" spans="2:18">
      <c r="B77" s="182"/>
      <c r="C77" s="181"/>
      <c r="D77" s="94"/>
      <c r="E77" s="94"/>
      <c r="F77" s="180"/>
      <c r="G77" s="35"/>
      <c r="H77" s="35"/>
      <c r="I77" s="179"/>
      <c r="J77" s="178"/>
      <c r="K77" s="177"/>
      <c r="L77" s="176"/>
      <c r="M77" s="175"/>
      <c r="N77" s="174"/>
      <c r="O77" s="94"/>
      <c r="P77" s="94"/>
      <c r="Q77" s="98"/>
    </row>
    <row r="78" spans="2:18">
      <c r="B78" s="69"/>
      <c r="E78" s="68" t="s">
        <v>64</v>
      </c>
      <c r="F78" s="94"/>
      <c r="G78" s="94"/>
      <c r="H78" s="94"/>
      <c r="I78" s="108"/>
      <c r="J78" s="108"/>
      <c r="K78" s="108"/>
      <c r="L78" s="94"/>
      <c r="M78" s="94"/>
      <c r="N78" s="94"/>
      <c r="O78" s="94"/>
      <c r="P78" s="94"/>
      <c r="Q78" s="98"/>
    </row>
    <row r="79" spans="2:18">
      <c r="B79" s="69"/>
      <c r="D79" s="68"/>
      <c r="E79" s="94"/>
      <c r="F79" s="94"/>
      <c r="G79" s="94"/>
      <c r="H79" s="94"/>
      <c r="I79" s="108"/>
      <c r="J79" s="108"/>
      <c r="K79" s="108"/>
      <c r="L79" s="94"/>
      <c r="M79" s="94"/>
      <c r="N79" s="94"/>
      <c r="O79" s="94"/>
      <c r="P79" s="94"/>
      <c r="Q79" s="98"/>
    </row>
    <row r="80" spans="2:18">
      <c r="B80" s="69"/>
      <c r="C80" s="173" t="s">
        <v>63</v>
      </c>
      <c r="D80" s="45" t="s">
        <v>62</v>
      </c>
      <c r="E80" s="172"/>
      <c r="F80" s="171"/>
      <c r="G80" s="170" t="s">
        <v>61</v>
      </c>
      <c r="H80" s="170"/>
      <c r="I80" s="169"/>
      <c r="J80" s="169" t="s">
        <v>60</v>
      </c>
      <c r="K80" s="169"/>
      <c r="L80" s="169"/>
      <c r="M80" s="168" t="s">
        <v>59</v>
      </c>
      <c r="N80" s="167" t="s">
        <v>58</v>
      </c>
      <c r="O80" s="166"/>
      <c r="P80" s="94"/>
      <c r="Q80" s="98"/>
    </row>
    <row r="81" spans="2:17">
      <c r="B81" s="69"/>
      <c r="C81" s="165" t="s">
        <v>57</v>
      </c>
      <c r="D81" s="40" t="s">
        <v>56</v>
      </c>
      <c r="E81" s="164"/>
      <c r="F81" s="163"/>
      <c r="G81" s="162" t="s">
        <v>55</v>
      </c>
      <c r="H81" s="162"/>
      <c r="I81" s="161"/>
      <c r="J81" s="39" t="s">
        <v>34</v>
      </c>
      <c r="K81" s="39"/>
      <c r="L81" s="39"/>
      <c r="M81" s="160" t="s">
        <v>54</v>
      </c>
      <c r="N81" s="159"/>
      <c r="O81" s="158"/>
      <c r="P81" s="94"/>
      <c r="Q81" s="98"/>
    </row>
    <row r="82" spans="2:17">
      <c r="B82" s="69"/>
      <c r="C82" s="157">
        <f>I28</f>
        <v>100000</v>
      </c>
      <c r="D82" s="156">
        <f>D49</f>
        <v>10000000</v>
      </c>
      <c r="E82" s="155"/>
      <c r="F82" s="154"/>
      <c r="G82" s="153">
        <f>I26/100</f>
        <v>0.01</v>
      </c>
      <c r="H82" s="153"/>
      <c r="I82" s="151"/>
      <c r="J82" s="152">
        <f>M73*G82</f>
        <v>500000</v>
      </c>
      <c r="K82" s="151"/>
      <c r="L82" s="151"/>
      <c r="M82" s="150" t="str">
        <f>ROUND(J82/C82,2) &amp; "X"</f>
        <v>5X</v>
      </c>
      <c r="N82" s="149">
        <f>G82*M74</f>
        <v>500000</v>
      </c>
      <c r="O82" s="148"/>
      <c r="P82" s="94"/>
      <c r="Q82" s="98"/>
    </row>
    <row r="83" spans="2:17">
      <c r="B83" s="69"/>
      <c r="C83" s="94"/>
      <c r="D83" s="94"/>
      <c r="E83" s="94"/>
      <c r="F83" s="94"/>
      <c r="G83" s="94"/>
      <c r="H83" s="94"/>
      <c r="I83" s="108"/>
      <c r="J83" s="108"/>
      <c r="K83" s="108"/>
      <c r="L83" s="94"/>
      <c r="M83" s="94"/>
      <c r="N83" s="94"/>
      <c r="O83" s="94"/>
      <c r="P83" s="94"/>
      <c r="Q83" s="98"/>
    </row>
    <row r="84" spans="2:17">
      <c r="B84" s="95" t="s">
        <v>53</v>
      </c>
      <c r="C84" s="94"/>
      <c r="D84" s="94"/>
      <c r="E84" s="94"/>
      <c r="F84" s="94"/>
      <c r="G84" s="94"/>
      <c r="H84" s="94"/>
      <c r="I84" s="108"/>
      <c r="J84" s="108"/>
      <c r="K84" s="108"/>
      <c r="L84" s="94"/>
      <c r="M84" s="94"/>
      <c r="N84" s="94"/>
      <c r="O84" s="94"/>
      <c r="P84" s="94"/>
      <c r="Q84" s="98"/>
    </row>
    <row r="85" spans="2:17">
      <c r="B85" s="95" t="s">
        <v>52</v>
      </c>
      <c r="C85" s="94"/>
      <c r="D85" s="94"/>
      <c r="E85" s="94"/>
      <c r="F85" s="94"/>
      <c r="G85" s="94"/>
      <c r="H85" s="94"/>
      <c r="I85" s="108"/>
      <c r="J85" s="108"/>
      <c r="K85" s="108"/>
      <c r="L85" s="94"/>
      <c r="M85" s="94"/>
      <c r="N85" s="94"/>
      <c r="O85" s="40" t="s">
        <v>48</v>
      </c>
      <c r="P85" s="94"/>
      <c r="Q85" s="98"/>
    </row>
    <row r="86" spans="2:17">
      <c r="B86" s="147"/>
      <c r="C86" s="40" t="s">
        <v>51</v>
      </c>
      <c r="D86" s="35" t="s">
        <v>50</v>
      </c>
      <c r="E86" s="94"/>
      <c r="F86" s="35" t="s">
        <v>50</v>
      </c>
      <c r="G86" s="94"/>
      <c r="H86" s="94"/>
      <c r="I86" s="146" t="s">
        <v>49</v>
      </c>
      <c r="J86" s="35"/>
      <c r="K86" s="40" t="s">
        <v>48</v>
      </c>
      <c r="L86" s="94"/>
      <c r="M86" s="40" t="s">
        <v>47</v>
      </c>
      <c r="N86" s="40"/>
      <c r="O86" s="40" t="s">
        <v>46</v>
      </c>
      <c r="P86" s="94"/>
      <c r="Q86" s="143"/>
    </row>
    <row r="87" spans="2:17">
      <c r="B87" s="69"/>
      <c r="C87" s="145" t="s">
        <v>45</v>
      </c>
      <c r="D87" s="35" t="s">
        <v>44</v>
      </c>
      <c r="E87" s="7"/>
      <c r="F87" s="35" t="s">
        <v>30</v>
      </c>
      <c r="G87" s="94"/>
      <c r="H87" s="94"/>
      <c r="I87" s="144" t="s">
        <v>43</v>
      </c>
      <c r="J87" s="144"/>
      <c r="K87" s="40" t="s">
        <v>42</v>
      </c>
      <c r="L87" s="7"/>
      <c r="M87" s="40" t="s">
        <v>31</v>
      </c>
      <c r="N87" s="40"/>
      <c r="O87" s="40" t="s">
        <v>41</v>
      </c>
      <c r="P87" s="94"/>
      <c r="Q87" s="143"/>
    </row>
    <row r="88" spans="2:17">
      <c r="B88" s="69"/>
      <c r="C88" s="142" t="s">
        <v>27</v>
      </c>
      <c r="D88" s="135">
        <v>6000000</v>
      </c>
      <c r="E88" s="136"/>
      <c r="F88" s="141">
        <v>0.75</v>
      </c>
      <c r="G88" s="140"/>
      <c r="H88" s="140"/>
      <c r="I88" s="139">
        <f>F88+F89</f>
        <v>1</v>
      </c>
      <c r="J88" s="138">
        <f>I88-J90-(J91)</f>
        <v>0.8</v>
      </c>
      <c r="K88" s="137">
        <f>J88*F88-(F88*K91)</f>
        <v>0.60000000000000009</v>
      </c>
      <c r="L88" s="136"/>
      <c r="M88" s="135">
        <f>D88</f>
        <v>6000000</v>
      </c>
      <c r="N88" s="135"/>
      <c r="O88" s="134">
        <f>K88*M73</f>
        <v>30000000.000000004</v>
      </c>
      <c r="P88" s="35"/>
      <c r="Q88" s="98"/>
    </row>
    <row r="89" spans="2:17">
      <c r="B89" s="133"/>
      <c r="C89" s="131" t="s">
        <v>25</v>
      </c>
      <c r="D89" s="126">
        <v>2000000</v>
      </c>
      <c r="E89" s="94"/>
      <c r="F89" s="130">
        <v>0.25</v>
      </c>
      <c r="G89" s="40"/>
      <c r="H89" s="40"/>
      <c r="I89" s="132"/>
      <c r="J89" s="132"/>
      <c r="K89" s="18">
        <f>J88*F89-(F89*K91)</f>
        <v>0.2</v>
      </c>
      <c r="L89" s="94"/>
      <c r="M89" s="126">
        <f>D89</f>
        <v>2000000</v>
      </c>
      <c r="N89" s="126"/>
      <c r="O89" s="125">
        <f>K89*M73</f>
        <v>10000000</v>
      </c>
      <c r="P89" s="35"/>
      <c r="Q89" s="98"/>
    </row>
    <row r="90" spans="2:17">
      <c r="B90" s="69"/>
      <c r="C90" s="131" t="s">
        <v>40</v>
      </c>
      <c r="D90" s="94"/>
      <c r="E90" s="109"/>
      <c r="F90" s="130"/>
      <c r="G90" s="35"/>
      <c r="H90" s="35"/>
      <c r="I90" s="129" t="s">
        <v>39</v>
      </c>
      <c r="J90" s="128">
        <f>(1%*Q97)</f>
        <v>0.2</v>
      </c>
      <c r="K90" s="127">
        <f>J90</f>
        <v>0.2</v>
      </c>
      <c r="L90" s="94"/>
      <c r="M90" s="126">
        <f>K90*I92</f>
        <v>1999999.9999999998</v>
      </c>
      <c r="N90" s="126"/>
      <c r="O90" s="125">
        <f>K90*M73</f>
        <v>10000000</v>
      </c>
      <c r="P90" s="35"/>
      <c r="Q90" s="124"/>
    </row>
    <row r="91" spans="2:17" ht="19" thickBot="1">
      <c r="B91" s="69"/>
      <c r="C91" s="123" t="s">
        <v>38</v>
      </c>
      <c r="D91" s="118"/>
      <c r="E91" s="118"/>
      <c r="F91" s="122"/>
      <c r="G91" s="121"/>
      <c r="H91" s="121"/>
      <c r="I91" s="120"/>
      <c r="J91" s="120"/>
      <c r="K91" s="119">
        <f>'[1]ROUND A CAP TABLE'!N54</f>
        <v>0</v>
      </c>
      <c r="L91" s="118"/>
      <c r="M91" s="117">
        <f>I92*K91</f>
        <v>0</v>
      </c>
      <c r="N91" s="117"/>
      <c r="O91" s="116">
        <f>K91*M73</f>
        <v>0</v>
      </c>
      <c r="P91" s="35"/>
      <c r="Q91" s="98"/>
    </row>
    <row r="92" spans="2:17">
      <c r="B92" s="69"/>
      <c r="C92" s="115"/>
      <c r="D92" s="115"/>
      <c r="E92" s="115"/>
      <c r="F92" s="115"/>
      <c r="G92" s="115"/>
      <c r="H92" s="115"/>
      <c r="I92" s="114">
        <f>M88/K88</f>
        <v>9999999.9999999981</v>
      </c>
      <c r="J92" s="113"/>
      <c r="K92" s="112">
        <f>SUM(K88:K91)</f>
        <v>1</v>
      </c>
      <c r="L92" s="94"/>
      <c r="M92" s="111"/>
      <c r="N92" s="111"/>
      <c r="O92" s="110"/>
      <c r="P92" s="94"/>
      <c r="Q92" s="98"/>
    </row>
    <row r="93" spans="2:17" ht="20">
      <c r="B93" s="69"/>
      <c r="C93" s="94"/>
      <c r="D93" s="109">
        <f>D88+D89</f>
        <v>8000000</v>
      </c>
      <c r="E93" s="94" t="s">
        <v>37</v>
      </c>
      <c r="F93" s="94"/>
      <c r="G93" s="94"/>
      <c r="H93" s="94"/>
      <c r="I93" s="94"/>
      <c r="J93" s="108"/>
      <c r="K93" s="107" t="s">
        <v>36</v>
      </c>
      <c r="L93" s="106"/>
      <c r="M93" s="105">
        <f>SUM(O88:O91)</f>
        <v>50000000</v>
      </c>
      <c r="N93" s="105"/>
      <c r="O93" s="104">
        <f>SUM(M88:M91)</f>
        <v>10000000</v>
      </c>
      <c r="P93" s="99" t="s">
        <v>35</v>
      </c>
      <c r="Q93" s="98"/>
    </row>
    <row r="94" spans="2:17" ht="20">
      <c r="B94" s="69"/>
      <c r="C94" s="94"/>
      <c r="D94" s="103"/>
      <c r="E94" s="94"/>
      <c r="F94" s="94"/>
      <c r="G94" s="94"/>
      <c r="H94" s="94"/>
      <c r="I94" s="94"/>
      <c r="J94" s="94"/>
      <c r="K94" s="97"/>
      <c r="L94" s="102" t="s">
        <v>34</v>
      </c>
      <c r="M94" s="101"/>
      <c r="N94" s="99"/>
      <c r="O94" s="100">
        <f>M93/O93</f>
        <v>5</v>
      </c>
      <c r="P94" s="99" t="s">
        <v>33</v>
      </c>
      <c r="Q94" s="98"/>
    </row>
    <row r="95" spans="2:17" ht="20" hidden="1">
      <c r="B95" s="95" t="s">
        <v>32</v>
      </c>
      <c r="C95" s="94"/>
      <c r="D95" s="94"/>
      <c r="E95" s="94"/>
      <c r="F95" s="94"/>
      <c r="G95" s="94"/>
      <c r="H95" s="94"/>
      <c r="I95" s="94"/>
      <c r="J95" s="94"/>
      <c r="K95" s="97"/>
      <c r="L95" s="97"/>
      <c r="M95" s="96"/>
      <c r="N95" s="57"/>
      <c r="O95" s="57"/>
      <c r="P95" s="57"/>
      <c r="Q95" s="89"/>
    </row>
    <row r="96" spans="2:17" ht="20" hidden="1">
      <c r="B96" s="95"/>
      <c r="C96" s="94"/>
      <c r="D96" s="93" t="s">
        <v>31</v>
      </c>
      <c r="E96" s="62"/>
      <c r="F96" s="92" t="s">
        <v>30</v>
      </c>
      <c r="G96" s="62"/>
      <c r="H96" s="62"/>
      <c r="I96" s="63" t="s">
        <v>29</v>
      </c>
      <c r="J96" s="62"/>
      <c r="K96" s="61"/>
      <c r="L96" s="91">
        <f>M74</f>
        <v>50000000</v>
      </c>
      <c r="M96" s="59"/>
      <c r="N96" s="57"/>
      <c r="O96" s="57"/>
      <c r="P96" s="90" t="s">
        <v>28</v>
      </c>
      <c r="Q96" s="89"/>
    </row>
    <row r="97" spans="2:19" ht="20" hidden="1">
      <c r="B97" s="69"/>
      <c r="C97" s="68" t="s">
        <v>27</v>
      </c>
      <c r="D97" s="80">
        <f>M88</f>
        <v>6000000</v>
      </c>
      <c r="E97" s="79"/>
      <c r="F97" s="78">
        <f>K88</f>
        <v>0.60000000000000009</v>
      </c>
      <c r="G97" s="88"/>
      <c r="H97" s="88"/>
      <c r="I97" s="76"/>
      <c r="J97" s="75"/>
      <c r="K97" s="74"/>
      <c r="L97" s="73">
        <f>F97*L96</f>
        <v>30000000.000000004</v>
      </c>
      <c r="M97" s="72"/>
      <c r="N97" s="57"/>
      <c r="O97" s="58" t="s">
        <v>26</v>
      </c>
      <c r="P97" s="57"/>
      <c r="Q97" s="56">
        <v>20</v>
      </c>
      <c r="S97" s="87">
        <f>Q98*Q97</f>
        <v>400000</v>
      </c>
    </row>
    <row r="98" spans="2:19" ht="20" hidden="1">
      <c r="B98" s="69"/>
      <c r="C98" s="68" t="s">
        <v>25</v>
      </c>
      <c r="D98" s="86">
        <f>M89</f>
        <v>2000000</v>
      </c>
      <c r="E98" s="62"/>
      <c r="F98" s="65">
        <f>K89</f>
        <v>0.2</v>
      </c>
      <c r="G98" s="85"/>
      <c r="H98" s="85"/>
      <c r="I98" s="63"/>
      <c r="J98" s="62"/>
      <c r="K98" s="61"/>
      <c r="L98" s="60">
        <f>F98*L96</f>
        <v>10000000</v>
      </c>
      <c r="M98" s="59"/>
      <c r="N98" s="57"/>
      <c r="O98" s="84" t="s">
        <v>24</v>
      </c>
      <c r="P98" s="83"/>
      <c r="Q98" s="82">
        <f>'[1]ROUND A CAP TABLE'!F22*(O93/Q97)</f>
        <v>20000</v>
      </c>
      <c r="S98" s="81">
        <f>S97/O93</f>
        <v>0.04</v>
      </c>
    </row>
    <row r="99" spans="2:19" ht="20" hidden="1">
      <c r="B99" s="69"/>
      <c r="C99" s="68" t="s">
        <v>23</v>
      </c>
      <c r="D99" s="80">
        <f>M90</f>
        <v>1999999.9999999998</v>
      </c>
      <c r="E99" s="79"/>
      <c r="F99" s="78">
        <f>K90</f>
        <v>0.2</v>
      </c>
      <c r="G99" s="77"/>
      <c r="H99" s="77"/>
      <c r="I99" s="76"/>
      <c r="J99" s="75"/>
      <c r="K99" s="74"/>
      <c r="L99" s="73">
        <f>F99*L96</f>
        <v>10000000</v>
      </c>
      <c r="M99" s="72"/>
      <c r="N99" s="57"/>
      <c r="O99" s="71" t="s">
        <v>22</v>
      </c>
      <c r="P99" s="57"/>
      <c r="Q99" s="70">
        <f>J82</f>
        <v>500000</v>
      </c>
    </row>
    <row r="100" spans="2:19" ht="20" hidden="1">
      <c r="B100" s="69"/>
      <c r="C100" s="68" t="s">
        <v>21</v>
      </c>
      <c r="D100" s="67">
        <f>M91</f>
        <v>0</v>
      </c>
      <c r="E100" s="66"/>
      <c r="F100" s="65">
        <f>K91</f>
        <v>0</v>
      </c>
      <c r="G100" s="64"/>
      <c r="H100" s="64"/>
      <c r="I100" s="63"/>
      <c r="J100" s="62"/>
      <c r="K100" s="61"/>
      <c r="L100" s="60">
        <f>F100*L96</f>
        <v>0</v>
      </c>
      <c r="M100" s="59"/>
      <c r="N100" s="57"/>
      <c r="O100" s="58" t="s">
        <v>20</v>
      </c>
      <c r="P100" s="57"/>
      <c r="Q100" s="56" t="str">
        <f>ROUND(Q99/C82,2) &amp; " X"</f>
        <v>5 X</v>
      </c>
    </row>
    <row r="101" spans="2:19" ht="21" thickBot="1">
      <c r="B101" s="55"/>
      <c r="C101" s="53"/>
      <c r="D101" s="53"/>
      <c r="E101" s="53"/>
      <c r="F101" s="53"/>
      <c r="G101" s="53"/>
      <c r="H101" s="53"/>
      <c r="I101" s="54"/>
      <c r="J101" s="53"/>
      <c r="K101" s="52"/>
      <c r="L101" s="52"/>
      <c r="M101" s="52"/>
      <c r="N101" s="52"/>
      <c r="O101" s="52"/>
      <c r="P101" s="52"/>
      <c r="Q101" s="51"/>
    </row>
    <row r="102" spans="2:19" ht="19" thickTop="1"/>
    <row r="103" spans="2:19" ht="20">
      <c r="B103" s="50"/>
      <c r="C103" s="48"/>
      <c r="D103" s="48"/>
      <c r="E103" s="48"/>
      <c r="F103" s="48"/>
      <c r="G103" s="48"/>
      <c r="H103" s="48"/>
      <c r="I103" s="49" t="s">
        <v>19</v>
      </c>
      <c r="J103" s="48"/>
      <c r="K103" s="48"/>
      <c r="L103" s="48"/>
      <c r="M103" s="48"/>
      <c r="N103" s="48"/>
      <c r="O103" s="48"/>
      <c r="P103" s="48"/>
      <c r="Q103" s="47"/>
    </row>
    <row r="104" spans="2:19">
      <c r="B104" s="46"/>
      <c r="C104" s="45"/>
      <c r="D104" s="44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2"/>
      <c r="Q104" s="41"/>
    </row>
    <row r="105" spans="2:19">
      <c r="B105" s="38" t="s">
        <v>18</v>
      </c>
      <c r="C105" s="35" t="s">
        <v>17</v>
      </c>
      <c r="D105" s="35" t="s">
        <v>16</v>
      </c>
      <c r="E105" s="35"/>
      <c r="F105" s="35" t="s">
        <v>15</v>
      </c>
      <c r="G105" s="35"/>
      <c r="H105" s="35"/>
      <c r="I105" s="35" t="s">
        <v>14</v>
      </c>
      <c r="J105" s="35"/>
      <c r="K105" s="35"/>
      <c r="L105" s="40"/>
      <c r="M105" s="35" t="s">
        <v>13</v>
      </c>
      <c r="N105" s="40"/>
      <c r="O105" s="39"/>
      <c r="P105" s="39"/>
      <c r="Q105" s="34"/>
      <c r="S105" s="2"/>
    </row>
    <row r="106" spans="2:19">
      <c r="B106" s="38" t="s">
        <v>12</v>
      </c>
      <c r="C106" s="35" t="s">
        <v>11</v>
      </c>
      <c r="D106" s="35" t="s">
        <v>10</v>
      </c>
      <c r="E106" s="35"/>
      <c r="F106" s="35" t="s">
        <v>9</v>
      </c>
      <c r="G106" s="35"/>
      <c r="H106" s="35"/>
      <c r="I106" s="35" t="s">
        <v>8</v>
      </c>
      <c r="J106" s="35"/>
      <c r="K106" s="35"/>
      <c r="M106" s="35" t="s">
        <v>7</v>
      </c>
      <c r="Q106" s="34"/>
      <c r="S106" s="2"/>
    </row>
    <row r="107" spans="2:19" ht="20">
      <c r="B107" s="20">
        <f>C30</f>
        <v>0</v>
      </c>
      <c r="C107" s="36">
        <f>C28</f>
        <v>6.5000000000000002E-2</v>
      </c>
      <c r="D107" s="37">
        <v>0.8</v>
      </c>
      <c r="E107" s="37"/>
      <c r="F107" s="36">
        <f>C107*D107</f>
        <v>5.2000000000000005E-2</v>
      </c>
      <c r="G107" s="36"/>
      <c r="H107" s="36"/>
      <c r="I107" s="36">
        <f>G82</f>
        <v>0.01</v>
      </c>
      <c r="J107" s="35"/>
      <c r="M107" s="36">
        <f>I107+F107</f>
        <v>6.2000000000000006E-2</v>
      </c>
      <c r="Q107" s="34"/>
      <c r="R107" s="2"/>
      <c r="S107" s="2"/>
    </row>
    <row r="108" spans="2:19">
      <c r="B108" s="20"/>
      <c r="C108" s="19"/>
      <c r="D108" s="18"/>
      <c r="E108" s="18"/>
      <c r="F108" s="17"/>
      <c r="G108" s="17"/>
      <c r="H108" s="17"/>
      <c r="I108" s="17"/>
      <c r="J108" s="35"/>
      <c r="K108" s="35"/>
      <c r="Q108" s="34"/>
      <c r="R108" s="2"/>
      <c r="S108" s="2"/>
    </row>
    <row r="109" spans="2:19" ht="23">
      <c r="B109" s="20"/>
      <c r="C109" s="19"/>
      <c r="D109" s="18"/>
      <c r="E109" s="18"/>
      <c r="F109" s="17"/>
      <c r="G109" s="17"/>
      <c r="H109" s="17"/>
      <c r="I109" s="33"/>
      <c r="J109" s="32"/>
      <c r="K109" s="32"/>
      <c r="L109" s="14"/>
      <c r="M109" s="30"/>
      <c r="N109" s="30"/>
      <c r="O109" s="23"/>
      <c r="P109" s="23"/>
      <c r="Q109" s="10"/>
      <c r="R109" s="2"/>
      <c r="S109" s="2"/>
    </row>
    <row r="110" spans="2:19" ht="23">
      <c r="B110" s="20"/>
      <c r="C110" s="19"/>
      <c r="D110" s="18"/>
      <c r="E110" s="18"/>
      <c r="F110" s="17"/>
      <c r="G110" s="17"/>
      <c r="H110" s="17"/>
      <c r="I110" s="31" t="s">
        <v>6</v>
      </c>
      <c r="J110" s="31"/>
      <c r="K110" s="31"/>
      <c r="L110" s="14"/>
      <c r="M110" s="30" t="s">
        <v>5</v>
      </c>
      <c r="N110" s="30"/>
      <c r="O110" s="29" t="s">
        <v>4</v>
      </c>
      <c r="P110" s="23"/>
      <c r="Q110" s="10"/>
      <c r="R110" s="2"/>
      <c r="S110" s="2"/>
    </row>
    <row r="111" spans="2:19" ht="23">
      <c r="B111" s="20"/>
      <c r="C111" s="19"/>
      <c r="D111" s="18"/>
      <c r="E111" s="18"/>
      <c r="F111" s="17"/>
      <c r="G111" s="17"/>
      <c r="H111" s="17"/>
      <c r="I111" s="16"/>
      <c r="J111" s="16"/>
      <c r="K111" s="28">
        <f>O67</f>
        <v>4.0000000000000001E-3</v>
      </c>
      <c r="L111" s="25"/>
      <c r="M111" s="27">
        <f>F107+I107+B107</f>
        <v>6.2000000000000006E-2</v>
      </c>
      <c r="N111" s="26"/>
      <c r="O111" s="26"/>
      <c r="P111" s="25">
        <f>M111+K111</f>
        <v>6.6000000000000003E-2</v>
      </c>
      <c r="Q111" s="24"/>
      <c r="R111" s="2"/>
      <c r="S111" s="2"/>
    </row>
    <row r="112" spans="2:19" ht="23">
      <c r="B112" s="20"/>
      <c r="C112" s="19"/>
      <c r="D112" s="18"/>
      <c r="E112" s="18"/>
      <c r="F112" s="17"/>
      <c r="G112" s="17"/>
      <c r="H112" s="17"/>
      <c r="I112" s="16"/>
      <c r="J112" s="16"/>
      <c r="K112" s="15"/>
      <c r="L112" s="14"/>
      <c r="M112" s="13"/>
      <c r="N112" s="12"/>
      <c r="O112" s="12"/>
      <c r="P112" s="23"/>
      <c r="Q112" s="10"/>
      <c r="R112" s="2"/>
      <c r="S112" s="2"/>
    </row>
    <row r="113" spans="2:19" ht="23">
      <c r="B113" s="20"/>
      <c r="C113" s="19"/>
      <c r="D113" s="18"/>
      <c r="E113" s="18"/>
      <c r="F113" s="17"/>
      <c r="G113" s="17"/>
      <c r="H113" s="17"/>
      <c r="I113" s="16"/>
      <c r="J113" s="16"/>
      <c r="K113" s="15"/>
      <c r="L113" s="14"/>
      <c r="M113" s="13"/>
      <c r="N113" s="12"/>
      <c r="O113" s="22" t="s">
        <v>3</v>
      </c>
      <c r="P113" s="22"/>
      <c r="Q113" s="21"/>
      <c r="R113" s="2"/>
      <c r="S113" s="2"/>
    </row>
    <row r="114" spans="2:19" ht="23">
      <c r="B114" s="20"/>
      <c r="C114" s="19"/>
      <c r="D114" s="18"/>
      <c r="E114" s="18"/>
      <c r="F114" s="17"/>
      <c r="G114" s="17"/>
      <c r="H114" s="17"/>
      <c r="I114" s="16"/>
      <c r="J114" s="16"/>
      <c r="K114" s="15"/>
      <c r="L114" s="14"/>
      <c r="M114" s="13"/>
      <c r="N114" s="12"/>
      <c r="O114" s="11">
        <f>M74*P111</f>
        <v>3300000</v>
      </c>
      <c r="P114" s="11"/>
      <c r="Q114" s="10" t="str">
        <f>"    " &amp; ROUND(O114/I28,2) &amp; " X "</f>
        <v xml:space="preserve">    33 X </v>
      </c>
      <c r="R114" s="2"/>
      <c r="S114" s="2"/>
    </row>
    <row r="115" spans="2:19">
      <c r="B115" s="9"/>
      <c r="C115" s="8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6"/>
      <c r="Q115" s="5"/>
    </row>
    <row r="117" spans="2:19">
      <c r="C117" s="4"/>
      <c r="D117" s="4"/>
      <c r="E117" s="4"/>
      <c r="F117" s="4"/>
      <c r="G117" s="4"/>
      <c r="H117" s="4" t="s">
        <v>2</v>
      </c>
      <c r="I117" s="4"/>
      <c r="J117" s="4"/>
      <c r="K117" s="4"/>
      <c r="L117" s="4"/>
      <c r="M117" s="4"/>
      <c r="N117" s="4"/>
      <c r="O117" s="4"/>
      <c r="P117" s="4"/>
      <c r="Q117" s="4"/>
    </row>
    <row r="118" spans="2:19">
      <c r="C118" s="4"/>
      <c r="D118" s="4"/>
      <c r="E118" s="4"/>
      <c r="F118" s="4"/>
      <c r="G118" s="4"/>
      <c r="H118" s="4" t="s">
        <v>1</v>
      </c>
      <c r="I118" s="4"/>
      <c r="J118" s="4"/>
      <c r="K118" s="4"/>
      <c r="L118" s="4"/>
      <c r="M118" s="4"/>
      <c r="N118" s="4"/>
      <c r="O118" s="4"/>
      <c r="P118" s="4"/>
      <c r="Q118" s="4"/>
    </row>
    <row r="119" spans="2:19">
      <c r="H119" s="3" t="s">
        <v>0</v>
      </c>
    </row>
  </sheetData>
  <sheetProtection password="C6F3" sheet="1" objects="1" scenarios="1"/>
  <mergeCells count="22">
    <mergeCell ref="I110:K110"/>
    <mergeCell ref="M111:O111"/>
    <mergeCell ref="O105:P105"/>
    <mergeCell ref="O113:P113"/>
    <mergeCell ref="O114:P114"/>
    <mergeCell ref="L28:O28"/>
    <mergeCell ref="K93:L93"/>
    <mergeCell ref="J80:L80"/>
    <mergeCell ref="G81:I81"/>
    <mergeCell ref="J81:L81"/>
    <mergeCell ref="G82:I82"/>
    <mergeCell ref="J82:L82"/>
    <mergeCell ref="O11:Q11"/>
    <mergeCell ref="I88:I89"/>
    <mergeCell ref="J88:J89"/>
    <mergeCell ref="N82:O82"/>
    <mergeCell ref="N80:O81"/>
    <mergeCell ref="G80:I80"/>
    <mergeCell ref="N45:O45"/>
    <mergeCell ref="N46:O46"/>
    <mergeCell ref="L26:O26"/>
    <mergeCell ref="L27:O27"/>
  </mergeCells>
  <phoneticPr fontId="36" type="noConversion"/>
  <printOptions horizontalCentered="1"/>
  <pageMargins left="0" right="0" top="0" bottom="0" header="0" footer="0"/>
  <pageSetup scale="34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SAFE SERIES ONE</vt:lpstr>
    </vt:vector>
  </TitlesOfParts>
  <Company>inTelegence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Binns</dc:creator>
  <cp:lastModifiedBy>Don Binns</cp:lastModifiedBy>
  <cp:lastPrinted>2018-10-19T23:35:44Z</cp:lastPrinted>
  <dcterms:created xsi:type="dcterms:W3CDTF">2018-10-19T23:22:11Z</dcterms:created>
  <dcterms:modified xsi:type="dcterms:W3CDTF">2018-10-19T23:44:53Z</dcterms:modified>
</cp:coreProperties>
</file>